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20" windowHeight="14445"/>
  </bookViews>
  <sheets>
    <sheet name="расчет Гагарина 2а" sheetId="14" r:id="rId1"/>
    <sheet name="расчет Вокзальная 17а" sheetId="13" r:id="rId2"/>
    <sheet name="расчет Пионерская 4" sheetId="12" r:id="rId3"/>
    <sheet name="расчет Пионерская 14" sheetId="11" r:id="rId4"/>
    <sheet name="расчет Строитель на 2013 " sheetId="10" r:id="rId5"/>
    <sheet name="расчет на 13 год Пионерская 6,2" sheetId="9" r:id="rId6"/>
    <sheet name="расчет Пушкина 2 на 2013 го" sheetId="8" r:id="rId7"/>
    <sheet name="лебед на 2014 годтсж  (2)" sheetId="7" r:id="rId8"/>
    <sheet name="лебед на 2013 годтсж " sheetId="6" r:id="rId9"/>
    <sheet name="расчет на 2013 год(прокуратура," sheetId="5" r:id="rId10"/>
    <sheet name="расчет декабрь" sheetId="1" r:id="rId11"/>
    <sheet name="расчет на 2013 общ" sheetId="2" r:id="rId12"/>
  </sheets>
  <calcPr calcId="124519"/>
</workbook>
</file>

<file path=xl/calcChain.xml><?xml version="1.0" encoding="utf-8"?>
<calcChain xmlns="http://schemas.openxmlformats.org/spreadsheetml/2006/main">
  <c r="B86" i="14"/>
  <c r="G85"/>
  <c r="E72"/>
  <c r="C72"/>
  <c r="G72" s="1"/>
  <c r="C71"/>
  <c r="C70"/>
  <c r="C69" s="1"/>
  <c r="D69" s="1"/>
  <c r="E64"/>
  <c r="F64" s="1"/>
  <c r="D64"/>
  <c r="G64" s="1"/>
  <c r="I62"/>
  <c r="G55"/>
  <c r="H54"/>
  <c r="C54"/>
  <c r="G53"/>
  <c r="H53" s="1"/>
  <c r="E53"/>
  <c r="C52"/>
  <c r="I51"/>
  <c r="C45"/>
  <c r="H39"/>
  <c r="H40" s="1"/>
  <c r="G39"/>
  <c r="G40" s="1"/>
  <c r="F39"/>
  <c r="C43" s="1"/>
  <c r="E39"/>
  <c r="E54" s="1"/>
  <c r="M38"/>
  <c r="J38"/>
  <c r="M37"/>
  <c r="J37"/>
  <c r="M36"/>
  <c r="J36"/>
  <c r="O35"/>
  <c r="M35"/>
  <c r="J35"/>
  <c r="O34"/>
  <c r="O39" s="1"/>
  <c r="M34"/>
  <c r="J34"/>
  <c r="M33"/>
  <c r="J33"/>
  <c r="M32"/>
  <c r="J32"/>
  <c r="M31"/>
  <c r="J31"/>
  <c r="M30"/>
  <c r="J30"/>
  <c r="M29"/>
  <c r="J29"/>
  <c r="M28"/>
  <c r="J28"/>
  <c r="M27"/>
  <c r="J27"/>
  <c r="M26"/>
  <c r="J26"/>
  <c r="M25"/>
  <c r="J25"/>
  <c r="M24"/>
  <c r="J24"/>
  <c r="M23"/>
  <c r="J23"/>
  <c r="M22"/>
  <c r="J22"/>
  <c r="M21"/>
  <c r="J21"/>
  <c r="M20"/>
  <c r="J20"/>
  <c r="N19"/>
  <c r="M19"/>
  <c r="J19"/>
  <c r="M18"/>
  <c r="J18"/>
  <c r="M17"/>
  <c r="J17"/>
  <c r="M16"/>
  <c r="J16"/>
  <c r="M15"/>
  <c r="J15"/>
  <c r="M14"/>
  <c r="J14"/>
  <c r="M13"/>
  <c r="J13"/>
  <c r="M12"/>
  <c r="J12"/>
  <c r="M11"/>
  <c r="J11"/>
  <c r="M10"/>
  <c r="J10"/>
  <c r="M9"/>
  <c r="J9"/>
  <c r="M8"/>
  <c r="J8"/>
  <c r="N7"/>
  <c r="M7"/>
  <c r="J7"/>
  <c r="M6"/>
  <c r="J6"/>
  <c r="N5"/>
  <c r="M5"/>
  <c r="J5"/>
  <c r="B87" i="13"/>
  <c r="G86"/>
  <c r="E72"/>
  <c r="F72" s="1"/>
  <c r="C72"/>
  <c r="G72" s="1"/>
  <c r="C71"/>
  <c r="C70"/>
  <c r="C69" s="1"/>
  <c r="D69" s="1"/>
  <c r="E64"/>
  <c r="F64" s="1"/>
  <c r="D64"/>
  <c r="G64" s="1"/>
  <c r="I62"/>
  <c r="H55"/>
  <c r="G55"/>
  <c r="H54"/>
  <c r="C54"/>
  <c r="H53"/>
  <c r="G53"/>
  <c r="E53"/>
  <c r="C52"/>
  <c r="E52" s="1"/>
  <c r="I51"/>
  <c r="C45"/>
  <c r="C44"/>
  <c r="C43"/>
  <c r="C48" s="1"/>
  <c r="E55" s="1"/>
  <c r="F40"/>
  <c r="H39"/>
  <c r="H40" s="1"/>
  <c r="G39"/>
  <c r="G40" s="1"/>
  <c r="F39"/>
  <c r="E39"/>
  <c r="E54" s="1"/>
  <c r="M38"/>
  <c r="J38"/>
  <c r="M37"/>
  <c r="J37"/>
  <c r="M36"/>
  <c r="J36"/>
  <c r="O35"/>
  <c r="M35"/>
  <c r="J35"/>
  <c r="O34"/>
  <c r="O39" s="1"/>
  <c r="M34"/>
  <c r="J34"/>
  <c r="M33"/>
  <c r="J33"/>
  <c r="M32"/>
  <c r="J32"/>
  <c r="M31"/>
  <c r="J31"/>
  <c r="M30"/>
  <c r="J30"/>
  <c r="M29"/>
  <c r="J29"/>
  <c r="M28"/>
  <c r="J28"/>
  <c r="M27"/>
  <c r="J27"/>
  <c r="M26"/>
  <c r="J26"/>
  <c r="M25"/>
  <c r="J25"/>
  <c r="M24"/>
  <c r="J24"/>
  <c r="M23"/>
  <c r="J23"/>
  <c r="M22"/>
  <c r="J22"/>
  <c r="M21"/>
  <c r="J21"/>
  <c r="M20"/>
  <c r="J20"/>
  <c r="N19"/>
  <c r="M19"/>
  <c r="J19"/>
  <c r="M18"/>
  <c r="J18"/>
  <c r="M17"/>
  <c r="J17"/>
  <c r="M16"/>
  <c r="J16"/>
  <c r="M15"/>
  <c r="J15"/>
  <c r="M14"/>
  <c r="J14"/>
  <c r="M13"/>
  <c r="J13"/>
  <c r="M12"/>
  <c r="J12"/>
  <c r="M11"/>
  <c r="J11"/>
  <c r="M10"/>
  <c r="J10"/>
  <c r="M9"/>
  <c r="J9"/>
  <c r="M8"/>
  <c r="J8"/>
  <c r="N7"/>
  <c r="M7"/>
  <c r="J7"/>
  <c r="J39" s="1"/>
  <c r="M6"/>
  <c r="J6"/>
  <c r="N5"/>
  <c r="M5"/>
  <c r="M39" s="1"/>
  <c r="Q39" s="1"/>
  <c r="J5"/>
  <c r="D69" i="12"/>
  <c r="C69"/>
  <c r="C72"/>
  <c r="C70"/>
  <c r="C71"/>
  <c r="E72"/>
  <c r="B87"/>
  <c r="G86"/>
  <c r="E64"/>
  <c r="F64" s="1"/>
  <c r="D64"/>
  <c r="G64" s="1"/>
  <c r="I62"/>
  <c r="G55"/>
  <c r="H54"/>
  <c r="C54"/>
  <c r="G53"/>
  <c r="H53" s="1"/>
  <c r="E53"/>
  <c r="C52"/>
  <c r="G52" s="1"/>
  <c r="H52" s="1"/>
  <c r="I51"/>
  <c r="H39"/>
  <c r="C45" s="1"/>
  <c r="G39"/>
  <c r="G40" s="1"/>
  <c r="F39"/>
  <c r="F40" s="1"/>
  <c r="E39"/>
  <c r="M38"/>
  <c r="J38"/>
  <c r="M37"/>
  <c r="J37"/>
  <c r="M36"/>
  <c r="J36"/>
  <c r="O35"/>
  <c r="M35"/>
  <c r="J35"/>
  <c r="O34"/>
  <c r="M34"/>
  <c r="J34"/>
  <c r="M33"/>
  <c r="J33"/>
  <c r="M32"/>
  <c r="J32"/>
  <c r="M31"/>
  <c r="J31"/>
  <c r="M30"/>
  <c r="J30"/>
  <c r="M29"/>
  <c r="J29"/>
  <c r="M28"/>
  <c r="J28"/>
  <c r="M27"/>
  <c r="J27"/>
  <c r="M26"/>
  <c r="J26"/>
  <c r="M25"/>
  <c r="J25"/>
  <c r="M24"/>
  <c r="J24"/>
  <c r="M23"/>
  <c r="J23"/>
  <c r="M22"/>
  <c r="J22"/>
  <c r="M21"/>
  <c r="J21"/>
  <c r="M20"/>
  <c r="J20"/>
  <c r="N19"/>
  <c r="M19"/>
  <c r="J19"/>
  <c r="M18"/>
  <c r="J18"/>
  <c r="M17"/>
  <c r="J17"/>
  <c r="M16"/>
  <c r="J16"/>
  <c r="M15"/>
  <c r="J15"/>
  <c r="M14"/>
  <c r="J14"/>
  <c r="M13"/>
  <c r="J13"/>
  <c r="M12"/>
  <c r="J12"/>
  <c r="M11"/>
  <c r="J11"/>
  <c r="M10"/>
  <c r="J10"/>
  <c r="M9"/>
  <c r="J9"/>
  <c r="M8"/>
  <c r="J8"/>
  <c r="N7"/>
  <c r="M7"/>
  <c r="J7"/>
  <c r="M6"/>
  <c r="J6"/>
  <c r="N5"/>
  <c r="M5"/>
  <c r="J5"/>
  <c r="C61" i="11"/>
  <c r="C65" s="1"/>
  <c r="F65" s="1"/>
  <c r="C64"/>
  <c r="C63"/>
  <c r="C62"/>
  <c r="G55"/>
  <c r="H55" s="1"/>
  <c r="H54"/>
  <c r="C54"/>
  <c r="E54" s="1"/>
  <c r="G53"/>
  <c r="H53" s="1"/>
  <c r="E53"/>
  <c r="C52"/>
  <c r="G52" s="1"/>
  <c r="H52" s="1"/>
  <c r="I51"/>
  <c r="C44"/>
  <c r="G40"/>
  <c r="H39"/>
  <c r="H40" s="1"/>
  <c r="G39"/>
  <c r="F39"/>
  <c r="C43" s="1"/>
  <c r="C48" s="1"/>
  <c r="E55" s="1"/>
  <c r="E39"/>
  <c r="M38"/>
  <c r="J38"/>
  <c r="M37"/>
  <c r="J37"/>
  <c r="M36"/>
  <c r="J36"/>
  <c r="O35"/>
  <c r="M35"/>
  <c r="J35"/>
  <c r="O34"/>
  <c r="O39" s="1"/>
  <c r="M34"/>
  <c r="J34"/>
  <c r="M33"/>
  <c r="J33"/>
  <c r="M32"/>
  <c r="J32"/>
  <c r="M31"/>
  <c r="J31"/>
  <c r="M30"/>
  <c r="J30"/>
  <c r="M29"/>
  <c r="J29"/>
  <c r="M28"/>
  <c r="J28"/>
  <c r="M27"/>
  <c r="J27"/>
  <c r="M26"/>
  <c r="J26"/>
  <c r="M25"/>
  <c r="J25"/>
  <c r="M24"/>
  <c r="J24"/>
  <c r="M23"/>
  <c r="J23"/>
  <c r="M22"/>
  <c r="J22"/>
  <c r="M21"/>
  <c r="J21"/>
  <c r="M20"/>
  <c r="J20"/>
  <c r="N19"/>
  <c r="M19"/>
  <c r="J19"/>
  <c r="M18"/>
  <c r="J18"/>
  <c r="M17"/>
  <c r="J17"/>
  <c r="M16"/>
  <c r="J16"/>
  <c r="M15"/>
  <c r="J15"/>
  <c r="M14"/>
  <c r="J14"/>
  <c r="M13"/>
  <c r="J13"/>
  <c r="M12"/>
  <c r="J12"/>
  <c r="M11"/>
  <c r="J11"/>
  <c r="M10"/>
  <c r="J10"/>
  <c r="M9"/>
  <c r="J9"/>
  <c r="M8"/>
  <c r="J8"/>
  <c r="N7"/>
  <c r="M7"/>
  <c r="J7"/>
  <c r="M6"/>
  <c r="M39" s="1"/>
  <c r="J6"/>
  <c r="N5"/>
  <c r="M5"/>
  <c r="J5"/>
  <c r="J39" s="1"/>
  <c r="J66" i="10"/>
  <c r="D66"/>
  <c r="D61"/>
  <c r="D62"/>
  <c r="C66"/>
  <c r="F66" s="1"/>
  <c r="C61"/>
  <c r="C62"/>
  <c r="C63"/>
  <c r="C64"/>
  <c r="C65"/>
  <c r="H55"/>
  <c r="G55"/>
  <c r="H54"/>
  <c r="C54"/>
  <c r="H53"/>
  <c r="G53"/>
  <c r="E53"/>
  <c r="C52"/>
  <c r="E52" s="1"/>
  <c r="I51"/>
  <c r="C45"/>
  <c r="C43"/>
  <c r="C48" s="1"/>
  <c r="E55" s="1"/>
  <c r="H40"/>
  <c r="F40"/>
  <c r="H39"/>
  <c r="G39"/>
  <c r="G40" s="1"/>
  <c r="F39"/>
  <c r="E39"/>
  <c r="E54" s="1"/>
  <c r="M38"/>
  <c r="J38"/>
  <c r="M37"/>
  <c r="J37"/>
  <c r="M36"/>
  <c r="J36"/>
  <c r="O35"/>
  <c r="M35"/>
  <c r="J35"/>
  <c r="O34"/>
  <c r="O39" s="1"/>
  <c r="M34"/>
  <c r="J34"/>
  <c r="M33"/>
  <c r="J33"/>
  <c r="M32"/>
  <c r="J32"/>
  <c r="M31"/>
  <c r="J31"/>
  <c r="M30"/>
  <c r="J30"/>
  <c r="M29"/>
  <c r="J29"/>
  <c r="M28"/>
  <c r="J28"/>
  <c r="M27"/>
  <c r="J27"/>
  <c r="M26"/>
  <c r="J26"/>
  <c r="M25"/>
  <c r="J25"/>
  <c r="M24"/>
  <c r="J24"/>
  <c r="M23"/>
  <c r="J23"/>
  <c r="M22"/>
  <c r="J22"/>
  <c r="M21"/>
  <c r="J21"/>
  <c r="M20"/>
  <c r="J20"/>
  <c r="N19"/>
  <c r="M19"/>
  <c r="J19"/>
  <c r="M18"/>
  <c r="J18"/>
  <c r="M17"/>
  <c r="J17"/>
  <c r="M16"/>
  <c r="J16"/>
  <c r="M15"/>
  <c r="J15"/>
  <c r="M14"/>
  <c r="J14"/>
  <c r="M13"/>
  <c r="J13"/>
  <c r="M12"/>
  <c r="J12"/>
  <c r="M11"/>
  <c r="J11"/>
  <c r="M10"/>
  <c r="J10"/>
  <c r="M9"/>
  <c r="J9"/>
  <c r="M8"/>
  <c r="J8"/>
  <c r="N7"/>
  <c r="M7"/>
  <c r="J7"/>
  <c r="M6"/>
  <c r="J6"/>
  <c r="J39" s="1"/>
  <c r="N5"/>
  <c r="M5"/>
  <c r="M39" s="1"/>
  <c r="J5"/>
  <c r="J89" i="9"/>
  <c r="C89"/>
  <c r="C88"/>
  <c r="C87"/>
  <c r="C86"/>
  <c r="C85"/>
  <c r="D85"/>
  <c r="E89"/>
  <c r="F89"/>
  <c r="G89"/>
  <c r="B104"/>
  <c r="G103"/>
  <c r="F80"/>
  <c r="D80"/>
  <c r="G80" s="1"/>
  <c r="F75"/>
  <c r="D75"/>
  <c r="G75" s="1"/>
  <c r="F70"/>
  <c r="E70"/>
  <c r="D70"/>
  <c r="G70" s="1"/>
  <c r="I68"/>
  <c r="G66"/>
  <c r="E66"/>
  <c r="F66" s="1"/>
  <c r="D66"/>
  <c r="G55"/>
  <c r="H54"/>
  <c r="C54"/>
  <c r="E54" s="1"/>
  <c r="G53"/>
  <c r="H53" s="1"/>
  <c r="E53"/>
  <c r="C52"/>
  <c r="G52" s="1"/>
  <c r="H52" s="1"/>
  <c r="I51"/>
  <c r="C44"/>
  <c r="G40"/>
  <c r="H39"/>
  <c r="C45" s="1"/>
  <c r="E52" s="1"/>
  <c r="G39"/>
  <c r="F39"/>
  <c r="F40" s="1"/>
  <c r="E39"/>
  <c r="M38"/>
  <c r="J38"/>
  <c r="M37"/>
  <c r="J37"/>
  <c r="M36"/>
  <c r="J36"/>
  <c r="O35"/>
  <c r="M35"/>
  <c r="J35"/>
  <c r="O34"/>
  <c r="O39" s="1"/>
  <c r="M34"/>
  <c r="J34"/>
  <c r="M33"/>
  <c r="J33"/>
  <c r="M32"/>
  <c r="J32"/>
  <c r="M31"/>
  <c r="J31"/>
  <c r="M30"/>
  <c r="J30"/>
  <c r="M29"/>
  <c r="J29"/>
  <c r="M28"/>
  <c r="J28"/>
  <c r="M27"/>
  <c r="J27"/>
  <c r="M26"/>
  <c r="J26"/>
  <c r="M25"/>
  <c r="J25"/>
  <c r="M24"/>
  <c r="J24"/>
  <c r="M23"/>
  <c r="J23"/>
  <c r="M22"/>
  <c r="J22"/>
  <c r="M21"/>
  <c r="J21"/>
  <c r="M20"/>
  <c r="J20"/>
  <c r="N19"/>
  <c r="M19"/>
  <c r="J19"/>
  <c r="M18"/>
  <c r="J18"/>
  <c r="M17"/>
  <c r="J17"/>
  <c r="M16"/>
  <c r="J16"/>
  <c r="M15"/>
  <c r="J15"/>
  <c r="M14"/>
  <c r="J14"/>
  <c r="M13"/>
  <c r="J13"/>
  <c r="M12"/>
  <c r="J12"/>
  <c r="M11"/>
  <c r="J11"/>
  <c r="M10"/>
  <c r="J10"/>
  <c r="M9"/>
  <c r="J9"/>
  <c r="M8"/>
  <c r="J8"/>
  <c r="N7"/>
  <c r="M7"/>
  <c r="J7"/>
  <c r="M6"/>
  <c r="M39" s="1"/>
  <c r="Q39" s="1"/>
  <c r="J6"/>
  <c r="N5"/>
  <c r="M5"/>
  <c r="J5"/>
  <c r="J39" s="1"/>
  <c r="D65" i="8"/>
  <c r="G65" s="1"/>
  <c r="D61"/>
  <c r="C64"/>
  <c r="C61" s="1"/>
  <c r="C63"/>
  <c r="C44"/>
  <c r="C52"/>
  <c r="C54"/>
  <c r="F65"/>
  <c r="G55"/>
  <c r="H54"/>
  <c r="G53"/>
  <c r="H53" s="1"/>
  <c r="E53"/>
  <c r="I51"/>
  <c r="H39"/>
  <c r="H40" s="1"/>
  <c r="G39"/>
  <c r="G40" s="1"/>
  <c r="F39"/>
  <c r="C43" s="1"/>
  <c r="C48" s="1"/>
  <c r="E39"/>
  <c r="M38"/>
  <c r="J38"/>
  <c r="M37"/>
  <c r="J37"/>
  <c r="M36"/>
  <c r="J36"/>
  <c r="O35"/>
  <c r="M35"/>
  <c r="J35"/>
  <c r="O34"/>
  <c r="M34"/>
  <c r="J34"/>
  <c r="M33"/>
  <c r="J33"/>
  <c r="M32"/>
  <c r="J32"/>
  <c r="M31"/>
  <c r="J31"/>
  <c r="M30"/>
  <c r="J30"/>
  <c r="M29"/>
  <c r="J29"/>
  <c r="M28"/>
  <c r="J28"/>
  <c r="M27"/>
  <c r="J27"/>
  <c r="M26"/>
  <c r="J26"/>
  <c r="M25"/>
  <c r="J25"/>
  <c r="M24"/>
  <c r="J24"/>
  <c r="M23"/>
  <c r="J23"/>
  <c r="M22"/>
  <c r="J22"/>
  <c r="M21"/>
  <c r="J21"/>
  <c r="M20"/>
  <c r="J20"/>
  <c r="N19"/>
  <c r="M19"/>
  <c r="J19"/>
  <c r="M18"/>
  <c r="J18"/>
  <c r="M17"/>
  <c r="J17"/>
  <c r="M16"/>
  <c r="J16"/>
  <c r="M15"/>
  <c r="J15"/>
  <c r="M14"/>
  <c r="J14"/>
  <c r="M13"/>
  <c r="J13"/>
  <c r="M12"/>
  <c r="J12"/>
  <c r="M11"/>
  <c r="J11"/>
  <c r="M10"/>
  <c r="J10"/>
  <c r="M9"/>
  <c r="J9"/>
  <c r="M8"/>
  <c r="J8"/>
  <c r="N7"/>
  <c r="M7"/>
  <c r="J7"/>
  <c r="M6"/>
  <c r="J6"/>
  <c r="N5"/>
  <c r="M5"/>
  <c r="J5"/>
  <c r="C24" i="7"/>
  <c r="D24"/>
  <c r="E24" s="1"/>
  <c r="E21" i="6"/>
  <c r="E27"/>
  <c r="D27"/>
  <c r="D23"/>
  <c r="E24"/>
  <c r="D18"/>
  <c r="D13"/>
  <c r="C29" i="7"/>
  <c r="D29" s="1"/>
  <c r="E29" s="1"/>
  <c r="F27"/>
  <c r="D27"/>
  <c r="E27" s="1"/>
  <c r="E26"/>
  <c r="D25"/>
  <c r="E25" s="1"/>
  <c r="E23"/>
  <c r="F22"/>
  <c r="H21"/>
  <c r="G21"/>
  <c r="F21"/>
  <c r="C21"/>
  <c r="C22" s="1"/>
  <c r="D19"/>
  <c r="D18"/>
  <c r="C17"/>
  <c r="D16"/>
  <c r="D17" s="1"/>
  <c r="C15"/>
  <c r="D14"/>
  <c r="D13"/>
  <c r="C11"/>
  <c r="C12" s="1"/>
  <c r="D24" i="6"/>
  <c r="C49" i="5"/>
  <c r="C48"/>
  <c r="C47"/>
  <c r="C46"/>
  <c r="I52"/>
  <c r="I53"/>
  <c r="I51"/>
  <c r="I50"/>
  <c r="E41"/>
  <c r="M17"/>
  <c r="M16"/>
  <c r="M15"/>
  <c r="H16"/>
  <c r="H15"/>
  <c r="F21"/>
  <c r="I45"/>
  <c r="I44"/>
  <c r="F24"/>
  <c r="F22"/>
  <c r="F34"/>
  <c r="F32"/>
  <c r="F26"/>
  <c r="F25"/>
  <c r="E26"/>
  <c r="F23"/>
  <c r="F15"/>
  <c r="F10"/>
  <c r="E10"/>
  <c r="G38"/>
  <c r="D41"/>
  <c r="D40"/>
  <c r="E49"/>
  <c r="F49" s="1"/>
  <c r="D80" i="1"/>
  <c r="G80" s="1"/>
  <c r="D75"/>
  <c r="G75" s="1"/>
  <c r="D70"/>
  <c r="G70" s="1"/>
  <c r="D66"/>
  <c r="G66" s="1"/>
  <c r="E25" i="6"/>
  <c r="E70" i="1"/>
  <c r="E66"/>
  <c r="D33" i="6"/>
  <c r="D34" s="1"/>
  <c r="F32"/>
  <c r="C29"/>
  <c r="D29" s="1"/>
  <c r="E29" s="1"/>
  <c r="F27"/>
  <c r="D25"/>
  <c r="C24"/>
  <c r="E23"/>
  <c r="F22"/>
  <c r="H21"/>
  <c r="G21"/>
  <c r="F21"/>
  <c r="C21"/>
  <c r="C22" s="1"/>
  <c r="C20" s="1"/>
  <c r="D19"/>
  <c r="C17"/>
  <c r="D16"/>
  <c r="D17" s="1"/>
  <c r="C15"/>
  <c r="D14"/>
  <c r="C11"/>
  <c r="C12" s="1"/>
  <c r="C10" s="1"/>
  <c r="I68" i="1"/>
  <c r="J40" i="5"/>
  <c r="D43"/>
  <c r="I21"/>
  <c r="H21"/>
  <c r="G32"/>
  <c r="G22"/>
  <c r="G21"/>
  <c r="C44" i="14" l="1"/>
  <c r="M39"/>
  <c r="Q39" s="1"/>
  <c r="J39"/>
  <c r="J42" s="1"/>
  <c r="J45" s="1"/>
  <c r="F40"/>
  <c r="E52"/>
  <c r="F72"/>
  <c r="C48"/>
  <c r="E55" s="1"/>
  <c r="H55"/>
  <c r="J41"/>
  <c r="H41"/>
  <c r="G52"/>
  <c r="H52" s="1"/>
  <c r="H56" s="1"/>
  <c r="J42" i="13"/>
  <c r="J45" s="1"/>
  <c r="J41"/>
  <c r="H41"/>
  <c r="G52"/>
  <c r="H52" s="1"/>
  <c r="H56" s="1"/>
  <c r="C43" i="12"/>
  <c r="C48" s="1"/>
  <c r="E55" s="1"/>
  <c r="O39"/>
  <c r="F72"/>
  <c r="G72"/>
  <c r="M39"/>
  <c r="J39"/>
  <c r="J42" s="1"/>
  <c r="J45" s="1"/>
  <c r="H55"/>
  <c r="H56" s="1"/>
  <c r="C44"/>
  <c r="E54"/>
  <c r="E52"/>
  <c r="H40"/>
  <c r="H41" s="1"/>
  <c r="D65" i="11"/>
  <c r="G65" s="1"/>
  <c r="J41"/>
  <c r="J42"/>
  <c r="J45" s="1"/>
  <c r="Q39"/>
  <c r="H56"/>
  <c r="F40"/>
  <c r="H41" s="1"/>
  <c r="C45"/>
  <c r="E52" s="1"/>
  <c r="G66" i="10"/>
  <c r="J42"/>
  <c r="J45" s="1"/>
  <c r="J41"/>
  <c r="Q39"/>
  <c r="H41"/>
  <c r="C44"/>
  <c r="G52"/>
  <c r="H52" s="1"/>
  <c r="H56" s="1"/>
  <c r="J41" i="9"/>
  <c r="J42"/>
  <c r="J45" s="1"/>
  <c r="H40"/>
  <c r="H41" s="1"/>
  <c r="C43"/>
  <c r="C48" s="1"/>
  <c r="E55" s="1"/>
  <c r="C45" i="8"/>
  <c r="E55"/>
  <c r="O39"/>
  <c r="M39"/>
  <c r="E54"/>
  <c r="F40"/>
  <c r="H41" s="1"/>
  <c r="J39"/>
  <c r="J41" s="1"/>
  <c r="E52"/>
  <c r="H55"/>
  <c r="G52"/>
  <c r="H52" s="1"/>
  <c r="D15" i="7"/>
  <c r="E15" s="1"/>
  <c r="C20"/>
  <c r="C28" s="1"/>
  <c r="C30" s="1"/>
  <c r="C10"/>
  <c r="D21"/>
  <c r="E21" s="1"/>
  <c r="D11"/>
  <c r="D22"/>
  <c r="E22" s="1"/>
  <c r="E20" s="1"/>
  <c r="D15" i="6"/>
  <c r="E15" s="1"/>
  <c r="I54" i="5"/>
  <c r="M18"/>
  <c r="I46"/>
  <c r="I47" s="1"/>
  <c r="I48" s="1"/>
  <c r="E26" i="6"/>
  <c r="C28"/>
  <c r="C30" s="1"/>
  <c r="C31" s="1"/>
  <c r="D11"/>
  <c r="D21"/>
  <c r="E25" i="5"/>
  <c r="E15"/>
  <c r="E14" i="2"/>
  <c r="D44" i="5"/>
  <c r="G40"/>
  <c r="G39"/>
  <c r="E48"/>
  <c r="F48" s="1"/>
  <c r="E39"/>
  <c r="F39" s="1"/>
  <c r="E38"/>
  <c r="F38" s="1"/>
  <c r="C34"/>
  <c r="D34" s="1"/>
  <c r="E34" s="1"/>
  <c r="D32"/>
  <c r="E32" s="1"/>
  <c r="C31"/>
  <c r="D31" s="1"/>
  <c r="D30"/>
  <c r="D29"/>
  <c r="C28"/>
  <c r="D28" s="1"/>
  <c r="C27"/>
  <c r="D27" s="1"/>
  <c r="D25"/>
  <c r="C24"/>
  <c r="D24" s="1"/>
  <c r="E24" s="1"/>
  <c r="D23"/>
  <c r="E23" s="1"/>
  <c r="C21"/>
  <c r="C22" s="1"/>
  <c r="C20" s="1"/>
  <c r="D19"/>
  <c r="D18"/>
  <c r="C17"/>
  <c r="C15" s="1"/>
  <c r="D16"/>
  <c r="D17" s="1"/>
  <c r="D15" s="1"/>
  <c r="D14"/>
  <c r="D13"/>
  <c r="C11"/>
  <c r="C12" s="1"/>
  <c r="C10" s="1"/>
  <c r="D7" i="2"/>
  <c r="N19" i="1"/>
  <c r="N7"/>
  <c r="G103"/>
  <c r="H99"/>
  <c r="G98"/>
  <c r="G97"/>
  <c r="O35"/>
  <c r="O34"/>
  <c r="O39" s="1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I51"/>
  <c r="H54"/>
  <c r="G55"/>
  <c r="G53"/>
  <c r="H53" s="1"/>
  <c r="Q39" i="12" l="1"/>
  <c r="J41"/>
  <c r="H55" i="9"/>
  <c r="H56" s="1"/>
  <c r="Q39" i="8"/>
  <c r="J42"/>
  <c r="J45" s="1"/>
  <c r="H56"/>
  <c r="M39" i="1"/>
  <c r="Q39" s="1"/>
  <c r="G99"/>
  <c r="E99" s="1"/>
  <c r="D20" i="7"/>
  <c r="D12"/>
  <c r="D10" s="1"/>
  <c r="C26" i="5"/>
  <c r="G42"/>
  <c r="D22" i="6"/>
  <c r="E22" s="1"/>
  <c r="D20"/>
  <c r="D12"/>
  <c r="D10"/>
  <c r="E10" s="1"/>
  <c r="D26" i="5"/>
  <c r="D47"/>
  <c r="E47" s="1"/>
  <c r="F47" s="1"/>
  <c r="D46"/>
  <c r="C33"/>
  <c r="C35" s="1"/>
  <c r="D11"/>
  <c r="D21"/>
  <c r="E21" s="1"/>
  <c r="E40"/>
  <c r="F40" s="1"/>
  <c r="C8" i="2"/>
  <c r="J37" i="1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6"/>
  <c r="J15"/>
  <c r="J14"/>
  <c r="J13"/>
  <c r="J12"/>
  <c r="J11"/>
  <c r="J10"/>
  <c r="J9"/>
  <c r="J8"/>
  <c r="J6"/>
  <c r="F80"/>
  <c r="F75"/>
  <c r="F66"/>
  <c r="E53"/>
  <c r="C52"/>
  <c r="G52" s="1"/>
  <c r="H52" s="1"/>
  <c r="E10" i="7" l="1"/>
  <c r="D28"/>
  <c r="D30" s="1"/>
  <c r="G30" s="1"/>
  <c r="E46" i="5"/>
  <c r="F46"/>
  <c r="G17" i="6"/>
  <c r="I17" s="1"/>
  <c r="G16"/>
  <c r="I16" s="1"/>
  <c r="G15"/>
  <c r="I15" s="1"/>
  <c r="D28"/>
  <c r="D30" s="1"/>
  <c r="D22" i="5"/>
  <c r="E22" s="1"/>
  <c r="D12"/>
  <c r="D10" s="1"/>
  <c r="C36"/>
  <c r="C9" i="2"/>
  <c r="D9" s="1"/>
  <c r="C10"/>
  <c r="C12" s="1"/>
  <c r="C13" s="1"/>
  <c r="D8"/>
  <c r="J38" i="1"/>
  <c r="J7"/>
  <c r="J17"/>
  <c r="C54"/>
  <c r="H39"/>
  <c r="G39"/>
  <c r="F39"/>
  <c r="E39"/>
  <c r="E54" s="1"/>
  <c r="E28" i="7" l="1"/>
  <c r="E30" s="1"/>
  <c r="G15"/>
  <c r="I15" s="1"/>
  <c r="I18" s="1"/>
  <c r="G16"/>
  <c r="I16" s="1"/>
  <c r="G17"/>
  <c r="I17" s="1"/>
  <c r="F30"/>
  <c r="I18" i="6"/>
  <c r="J16" i="5"/>
  <c r="H17"/>
  <c r="J17" s="1"/>
  <c r="J15"/>
  <c r="D20"/>
  <c r="D33" s="1"/>
  <c r="D35" s="1"/>
  <c r="C43" i="1"/>
  <c r="H55" s="1"/>
  <c r="H56" s="1"/>
  <c r="F40"/>
  <c r="C44"/>
  <c r="G40"/>
  <c r="C45"/>
  <c r="E52" s="1"/>
  <c r="H40"/>
  <c r="D31" i="6"/>
  <c r="F31" s="1"/>
  <c r="G30"/>
  <c r="F30"/>
  <c r="G32" s="1"/>
  <c r="D10" i="2"/>
  <c r="D12" s="1"/>
  <c r="N5" i="1"/>
  <c r="J5"/>
  <c r="C48"/>
  <c r="E55" s="1"/>
  <c r="B104"/>
  <c r="J39"/>
  <c r="J41" s="1"/>
  <c r="J18" i="5" l="1"/>
  <c r="G35"/>
  <c r="H42" s="1"/>
  <c r="H35"/>
  <c r="D36"/>
  <c r="G36" s="1"/>
  <c r="H41" i="1"/>
  <c r="D13" i="2"/>
  <c r="D14" s="1"/>
  <c r="J42" i="1"/>
  <c r="J45" s="1"/>
  <c r="F70"/>
</calcChain>
</file>

<file path=xl/sharedStrings.xml><?xml version="1.0" encoding="utf-8"?>
<sst xmlns="http://schemas.openxmlformats.org/spreadsheetml/2006/main" count="1118" uniqueCount="187">
  <si>
    <t xml:space="preserve">7-ой Км.                                          </t>
  </si>
  <si>
    <t xml:space="preserve">Вокзальная                                        </t>
  </si>
  <si>
    <t xml:space="preserve">9А        </t>
  </si>
  <si>
    <t xml:space="preserve">11А       </t>
  </si>
  <si>
    <t xml:space="preserve">17а       </t>
  </si>
  <si>
    <t xml:space="preserve">Гагарина                                          </t>
  </si>
  <si>
    <t xml:space="preserve">2А        </t>
  </si>
  <si>
    <t xml:space="preserve">5А        </t>
  </si>
  <si>
    <t xml:space="preserve">Горького                                          </t>
  </si>
  <si>
    <t xml:space="preserve">3А        </t>
  </si>
  <si>
    <t xml:space="preserve">3Б        </t>
  </si>
  <si>
    <t xml:space="preserve">4А        </t>
  </si>
  <si>
    <t xml:space="preserve">4Б        </t>
  </si>
  <si>
    <t xml:space="preserve">Западная                                          </t>
  </si>
  <si>
    <t xml:space="preserve">Кирова                                            </t>
  </si>
  <si>
    <t xml:space="preserve">19А       </t>
  </si>
  <si>
    <t xml:space="preserve">Лесная                                            </t>
  </si>
  <si>
    <t xml:space="preserve">Пионерская                                        </t>
  </si>
  <si>
    <t xml:space="preserve">24А       </t>
  </si>
  <si>
    <t xml:space="preserve">Пушкина                                           </t>
  </si>
  <si>
    <t xml:space="preserve">6А        </t>
  </si>
  <si>
    <t xml:space="preserve">7А        </t>
  </si>
  <si>
    <t xml:space="preserve">30А       </t>
  </si>
  <si>
    <t xml:space="preserve">Строительная                                      </t>
  </si>
  <si>
    <t xml:space="preserve">28А       </t>
  </si>
  <si>
    <t>ООО "МУК"</t>
  </si>
  <si>
    <t>Все пункты</t>
  </si>
  <si>
    <t>Пункт</t>
  </si>
  <si>
    <t>Дом</t>
  </si>
  <si>
    <t>Кол-во Л/С</t>
  </si>
  <si>
    <t>Площадь</t>
  </si>
  <si>
    <t>Общ.</t>
  </si>
  <si>
    <t>Количество</t>
  </si>
  <si>
    <t>ИТОГО</t>
  </si>
  <si>
    <t>пятиэтажные</t>
  </si>
  <si>
    <t>2х этаж с цент кан</t>
  </si>
  <si>
    <t>2х этажные с выгребом</t>
  </si>
  <si>
    <t>5эт</t>
  </si>
  <si>
    <t>2х цент</t>
  </si>
  <si>
    <t>2хвыгреб</t>
  </si>
  <si>
    <t>сдворниками</t>
  </si>
  <si>
    <t>затраты всего</t>
  </si>
  <si>
    <t>в т.ч. Выгреб</t>
  </si>
  <si>
    <t>мусор</t>
  </si>
  <si>
    <t>выгреб</t>
  </si>
  <si>
    <t>выгреб пион,24</t>
  </si>
  <si>
    <t>пионерская 24</t>
  </si>
  <si>
    <t>дворники, уборщики</t>
  </si>
  <si>
    <t>5этажные</t>
  </si>
  <si>
    <t>обслуж</t>
  </si>
  <si>
    <t>2х эт с выгребом</t>
  </si>
  <si>
    <t>обслу</t>
  </si>
  <si>
    <t>2х этажные с центр.кан</t>
  </si>
  <si>
    <t>общежитие</t>
  </si>
  <si>
    <t>ФОТ</t>
  </si>
  <si>
    <t>налоги</t>
  </si>
  <si>
    <t>ФОТ  коменданта</t>
  </si>
  <si>
    <t>площадь общеж</t>
  </si>
  <si>
    <t xml:space="preserve">задолженность </t>
  </si>
  <si>
    <t>тариф</t>
  </si>
  <si>
    <t>сумма</t>
  </si>
  <si>
    <t>обслуживание</t>
  </si>
  <si>
    <t>дворн, убор</t>
  </si>
  <si>
    <t>2х эт с выгребом (Пионерская 24,6)</t>
  </si>
  <si>
    <t>Показатели</t>
  </si>
  <si>
    <t>код строк</t>
  </si>
  <si>
    <t>январь-сентябрь 2012</t>
  </si>
  <si>
    <t>план на 2013 год</t>
  </si>
  <si>
    <t>среднеэксплуатируемая приведенная общая площадь жилых помещений</t>
  </si>
  <si>
    <t>1. Натуральные показатели (тыс.м2)</t>
  </si>
  <si>
    <t>2. Полная себестоимость содержания мест общего пользования жилищного фонда</t>
  </si>
  <si>
    <t>Содержание конструктивных элементов, в т.ч.</t>
  </si>
  <si>
    <t>оплата труда рабочих</t>
  </si>
  <si>
    <t>отчисление на социальные нужды</t>
  </si>
  <si>
    <t>материалы</t>
  </si>
  <si>
    <t>прочие прямые расходы</t>
  </si>
  <si>
    <t>обеспечение санитарного состояния жилых зданий и придомовой территоррии всего, в т.ч.</t>
  </si>
  <si>
    <t>Содержание и обслуживание внутридомового инженерного оборудования, всего в т.ч.</t>
  </si>
  <si>
    <t>услуги сторонних организаций</t>
  </si>
  <si>
    <t>прочие прямые расходы всего, в т.ч.</t>
  </si>
  <si>
    <t>аренда помещений</t>
  </si>
  <si>
    <t>аренда гаража</t>
  </si>
  <si>
    <t>аренда мусоровоза</t>
  </si>
  <si>
    <t>комуслуги</t>
  </si>
  <si>
    <t>общеэксплуатационные расходы</t>
  </si>
  <si>
    <t>итого расходов по эксплуатации</t>
  </si>
  <si>
    <t>внеэксплуатационные расходы</t>
  </si>
  <si>
    <t>всего расходов по полной себестоимости</t>
  </si>
  <si>
    <t>себестоимость содержания и обслуживания 1 м2 общей площади жилья</t>
  </si>
  <si>
    <t xml:space="preserve"> </t>
  </si>
  <si>
    <t>аварийно-диспетчерское обслуживание</t>
  </si>
  <si>
    <t>прочие прямые расходы (автовышка)</t>
  </si>
  <si>
    <t xml:space="preserve">Цена содержания и обслуживания мест общего пользования  на 1м2 общей площади жилого (нежилого) помещения   в месяц </t>
  </si>
  <si>
    <t xml:space="preserve">дворник </t>
  </si>
  <si>
    <t>на 2013 год</t>
  </si>
  <si>
    <t>в зависимости от степени благоустройства</t>
  </si>
  <si>
    <t xml:space="preserve">5-ти,4-х  этажные дома </t>
  </si>
  <si>
    <t>2х,3х этажные дома с центральной системой водоотведения</t>
  </si>
  <si>
    <t>Общая площадь жилых помещений общежитий</t>
  </si>
  <si>
    <t>РАСЧЕТ ПЛАТЫ ЗА СОДЕРЖАНИЕ  ОБЩЕЖИТИЙ</t>
  </si>
  <si>
    <t>2. Полная себестоимость содержания общежитий</t>
  </si>
  <si>
    <t>Главный экономист                                        Л.Артеменко</t>
  </si>
  <si>
    <t>2-х, 3-х этажные дома не оборудованные центральной системой водоотведения</t>
  </si>
  <si>
    <t>ПРОИЗВОДСТВЕННАЯ ПРОГРАММА  ООО "МУК" ПО  СОДЕРЖАНИЮ И ТЕХНИЧЕСКОМУ ОБСЛУЖИВАНИЮ МЕСТ ОБЩЕГО ПОЛЬЗОВАНИЯ  МНОГОКВАРТИРНЫХ ЖИЛЫХ ДОМОВ НА 2013 год</t>
  </si>
  <si>
    <t>5-ти,4-х  этажные дома  (30875,96м2)</t>
  </si>
  <si>
    <t>2х,3х этажные дома с центральной системой водоотведения (9956,03)</t>
  </si>
  <si>
    <t>Главный экономист ООО "МУК"                              Артеменко Л.А.</t>
  </si>
  <si>
    <t>УТВЕРЖДАЮ</t>
  </si>
  <si>
    <t>Директор ООО "МУК" ________________Т.В.Галузина</t>
  </si>
  <si>
    <t>"____"_____________2012г</t>
  </si>
  <si>
    <t>в зависимости от степени благоустройстас учетом услуг паспортиста</t>
  </si>
  <si>
    <t>затраты на содержание паспортиста тыс.руб.</t>
  </si>
  <si>
    <t>Себестоимость содержания паспортиста на 1 м2 общей площади жилья в месяц</t>
  </si>
  <si>
    <t>Затраты на содержание паспортиста</t>
  </si>
  <si>
    <t>оплата труда рабочих (в т.ч ас машина 214,6)</t>
  </si>
  <si>
    <t>отчисление на социальные нужды ( вт.ч.асмаш 88,1)</t>
  </si>
  <si>
    <t>прочие прямые расходы (техника вывоз КГМ)</t>
  </si>
  <si>
    <t>жбо</t>
  </si>
  <si>
    <t>кгм</t>
  </si>
  <si>
    <t>строит 28</t>
  </si>
  <si>
    <t>сансостояние</t>
  </si>
  <si>
    <t>ТБО и КГМ</t>
  </si>
  <si>
    <t>паспортист</t>
  </si>
  <si>
    <t>Приложение к производственной программе ООО "МУК" на 2013 год</t>
  </si>
  <si>
    <t>ЖБО</t>
  </si>
  <si>
    <t xml:space="preserve">Размер платы по содержанию жилищного фонда включает </t>
  </si>
  <si>
    <t>1.Управление многоквартирным домом;</t>
  </si>
  <si>
    <t>3. Выдача справок населению;</t>
  </si>
  <si>
    <t>2. Начисление и сбор платежей за жилищно-коммунальные услуги;</t>
  </si>
  <si>
    <t>5.Работа с неплательщиками за ЖКУ;</t>
  </si>
  <si>
    <t>4.Начисление льготы за ЖКУ;</t>
  </si>
  <si>
    <t>6.Подготовка жилищного фонда к сезонной эксплуатации</t>
  </si>
  <si>
    <t>7.Мелкий ремонт в рамках технического обслуживания;</t>
  </si>
  <si>
    <t>8.Уборка  мест общего пользования и придомовой территоррии 5-ти, 4х этажных домов</t>
  </si>
  <si>
    <t>9.Вывоз жидких бытовых отходов</t>
  </si>
  <si>
    <t>10.Сбор и вывоз твердых бытовых отходов и крупногабаритного мусора, уборка контейнерных площадок</t>
  </si>
  <si>
    <t xml:space="preserve">общеэксплуатационные расходы </t>
  </si>
  <si>
    <t xml:space="preserve">отчисление на социальные нужды </t>
  </si>
  <si>
    <t xml:space="preserve">оплата труда рабочих </t>
  </si>
  <si>
    <t>прочие прямые расходы всего,</t>
  </si>
  <si>
    <t>стоимость содержания 1 м2/месяц</t>
  </si>
  <si>
    <t>Степень благоустройства МКД</t>
  </si>
  <si>
    <t>состав затрат</t>
  </si>
  <si>
    <t>утвержденная плата на 2011 год</t>
  </si>
  <si>
    <t>утвержденная МО плата на 2013 год</t>
  </si>
  <si>
    <t>Расчет размера платы за содержание жилищного фонда ООО "МУК" на 2013 год по видам оказываемых услуг</t>
  </si>
  <si>
    <t>12.Обслуживание общедомовых приборов учета с 01.01.2013 года</t>
  </si>
  <si>
    <t>11. Услуги паспартиста по прописке, выписке, выдачи справок с 01.01.2013 года;</t>
  </si>
  <si>
    <t>расчет по фактическим затратам  на 2013 год</t>
  </si>
  <si>
    <t>обслуживание ОПУ</t>
  </si>
  <si>
    <t xml:space="preserve">2-х, 3-х этажные дома не оборудованные центральной системой водоотведения </t>
  </si>
  <si>
    <t>2-х, 3-х этажные дома не оборудованные центральной системой водоотведения (Пионерская 24,6))</t>
  </si>
  <si>
    <t>общеэксплуатационные расходы (в т.ч.ас машина 186,8 )</t>
  </si>
  <si>
    <t>2-х, 3-х этажные дома не оборудованные центральной системой водоотведения (Пионерская 24,6)</t>
  </si>
  <si>
    <t>"____"_____________2013г</t>
  </si>
  <si>
    <t>ПРОИЗВОДСТВЕННАЯ ПРОГРАММА  ООО "МУК" ПО  СОДЕРЖАНИЮ И ТЕХНИЧЕСКОМУ ОБСЛУЖИВАНИЮ МЕСТ ОБЩЕГО ПОЛЬЗОВАНИЯ  МНОГОКВАРТИРНЫХ ЖИЛЫХ ДОМОВ НА 2014 год (4-х, 5-ти этажные дома)</t>
  </si>
  <si>
    <t>план на 2014 год</t>
  </si>
  <si>
    <t>январь-сентябрь 2013</t>
  </si>
  <si>
    <t>Приложение №2 к договору на оказание услуг  по содержанию мест общего пользования МКД</t>
  </si>
  <si>
    <t>1. Начисление и сбор платежей за жилищно-коммунальные услуги;</t>
  </si>
  <si>
    <t>2. Выдача справок населению;</t>
  </si>
  <si>
    <t>3.Начисление льготы за ЖКУ;</t>
  </si>
  <si>
    <t>4.Работа с неплательщиками за ЖКУ;</t>
  </si>
  <si>
    <t>5.Подготовка жилищного фонда к сезонной эксплуатации</t>
  </si>
  <si>
    <t>6.Мелкий ремонт в рамках технического обслуживания;</t>
  </si>
  <si>
    <t>текущее содержание</t>
  </si>
  <si>
    <t>7.Вывоз жидких бытовых отходов</t>
  </si>
  <si>
    <t>8.Сбор и вывоз твердых бытовых отходов и крупногабаритного мусора, уборка контейнерных площадок</t>
  </si>
  <si>
    <t>9. Услуги паспартиста по прописке, выписке, выдачи справок с 01.01.2013 года;</t>
  </si>
  <si>
    <t>Директор ООО "МУК"               Галузина Т.В.</t>
  </si>
  <si>
    <t>Фактические затраты по итогам 2012 года</t>
  </si>
  <si>
    <t>расчет размера платы по фактическим затратам  на 2013 год</t>
  </si>
  <si>
    <t>вывоз ТБО и КГМ</t>
  </si>
  <si>
    <t>вывоз ЖБО</t>
  </si>
  <si>
    <t>услуги паспортиста</t>
  </si>
  <si>
    <t>2х эт с выгребом (Пионерская 6,24)</t>
  </si>
  <si>
    <t>услуги дворника</t>
  </si>
  <si>
    <t xml:space="preserve">9.Уборка   придомовой территоррии </t>
  </si>
  <si>
    <t>10. Услуги паспартиста по прописке, выписке, выдачи справок с 01.01.2013 года;</t>
  </si>
  <si>
    <t>2х эт с выгребом (Строительная 28а)</t>
  </si>
  <si>
    <t>2х эт с выгребом, Пионерская 14</t>
  </si>
  <si>
    <t>9. Услуги паспартиста по прописке, выписке, выдаче справок с 01.01.2013 года;</t>
  </si>
  <si>
    <t xml:space="preserve">2х этажные  Пионерская 4 </t>
  </si>
  <si>
    <t>2х этажные  Вокзальная 17а</t>
  </si>
  <si>
    <t>2х этажные  Гагарина 2а</t>
  </si>
  <si>
    <t>7.Сбор и вывоз твердых бытовых отходов и крупногабаритного мусора, уборка контейнерных площадок</t>
  </si>
  <si>
    <t>8. Услуги паспартиста по прописке, выписке, выдаче справок с 01.01.2013 года;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</si>
</sst>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onsolas"/>
      <family val="3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onsolas"/>
      <family val="3"/>
      <charset val="204"/>
    </font>
    <font>
      <sz val="12"/>
      <name val="Consolas"/>
      <family val="3"/>
      <charset val="204"/>
    </font>
    <font>
      <b/>
      <sz val="12"/>
      <name val="Consolas"/>
      <family val="3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2" fontId="0" fillId="0" borderId="0" xfId="0" applyNumberFormat="1"/>
    <xf numFmtId="2" fontId="0" fillId="0" borderId="1" xfId="0" applyNumberFormat="1" applyBorder="1"/>
    <xf numFmtId="9" fontId="0" fillId="0" borderId="0" xfId="0" applyNumberForma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left" vertical="center" wrapText="1"/>
    </xf>
    <xf numFmtId="164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right" vertical="center" wrapText="1"/>
    </xf>
    <xf numFmtId="2" fontId="0" fillId="0" borderId="0" xfId="0" applyNumberFormat="1" applyBorder="1"/>
    <xf numFmtId="2" fontId="1" fillId="0" borderId="1" xfId="0" applyNumberFormat="1" applyFont="1" applyBorder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2" fillId="0" borderId="1" xfId="0" applyFont="1" applyBorder="1"/>
    <xf numFmtId="2" fontId="2" fillId="0" borderId="1" xfId="0" applyNumberFormat="1" applyFont="1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5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2" fontId="9" fillId="0" borderId="1" xfId="0" applyNumberFormat="1" applyFont="1" applyBorder="1"/>
    <xf numFmtId="0" fontId="9" fillId="0" borderId="1" xfId="0" applyFont="1" applyBorder="1"/>
    <xf numFmtId="0" fontId="6" fillId="0" borderId="1" xfId="0" applyFont="1" applyBorder="1"/>
    <xf numFmtId="2" fontId="10" fillId="0" borderId="1" xfId="0" applyNumberFormat="1" applyFont="1" applyBorder="1"/>
    <xf numFmtId="0" fontId="8" fillId="0" borderId="0" xfId="0" applyFont="1" applyAlignment="1">
      <alignment horizontal="center" vertical="center" wrapText="1"/>
    </xf>
    <xf numFmtId="2" fontId="8" fillId="0" borderId="1" xfId="0" applyNumberFormat="1" applyFont="1" applyBorder="1"/>
    <xf numFmtId="2" fontId="6" fillId="0" borderId="1" xfId="0" applyNumberFormat="1" applyFont="1" applyBorder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topLeftCell="A64" workbookViewId="0">
      <selection activeCell="A66" sqref="A66:E84"/>
    </sheetView>
  </sheetViews>
  <sheetFormatPr defaultRowHeight="15"/>
  <cols>
    <col min="1" max="1" width="21.28515625" customWidth="1"/>
    <col min="2" max="2" width="25.28515625" customWidth="1"/>
    <col min="3" max="3" width="14.7109375" customWidth="1"/>
    <col min="4" max="4" width="13.5703125" customWidth="1"/>
    <col min="5" max="5" width="11" bestFit="1" customWidth="1"/>
    <col min="10" max="10" width="25.42578125" customWidth="1"/>
    <col min="11" max="11" width="12.42578125" customWidth="1"/>
  </cols>
  <sheetData>
    <row r="1" spans="1:14">
      <c r="B1" t="s">
        <v>25</v>
      </c>
    </row>
    <row r="2" spans="1:14">
      <c r="A2" t="s">
        <v>26</v>
      </c>
      <c r="I2" t="s">
        <v>94</v>
      </c>
    </row>
    <row r="3" spans="1:14">
      <c r="A3" s="60" t="s">
        <v>27</v>
      </c>
      <c r="B3" s="60" t="s">
        <v>28</v>
      </c>
      <c r="C3" s="60" t="s">
        <v>29</v>
      </c>
      <c r="D3" s="37"/>
      <c r="E3" s="63" t="s">
        <v>30</v>
      </c>
      <c r="F3" s="63"/>
      <c r="G3" s="63"/>
      <c r="H3" s="38" t="s">
        <v>32</v>
      </c>
      <c r="I3" s="64" t="s">
        <v>59</v>
      </c>
      <c r="J3" s="64" t="s">
        <v>60</v>
      </c>
      <c r="K3" s="15"/>
    </row>
    <row r="4" spans="1:14">
      <c r="A4" s="60"/>
      <c r="B4" s="60"/>
      <c r="C4" s="60"/>
      <c r="D4" s="37"/>
      <c r="E4" s="38" t="s">
        <v>31</v>
      </c>
      <c r="F4" s="38" t="s">
        <v>37</v>
      </c>
      <c r="G4" s="38" t="s">
        <v>38</v>
      </c>
      <c r="H4" s="38" t="s">
        <v>39</v>
      </c>
      <c r="I4" s="65"/>
      <c r="J4" s="65"/>
      <c r="K4" s="15"/>
      <c r="L4" s="6">
        <v>0.1</v>
      </c>
    </row>
    <row r="5" spans="1:14">
      <c r="A5" s="2" t="s">
        <v>0</v>
      </c>
      <c r="B5" s="2">
        <v>1</v>
      </c>
      <c r="C5" s="2">
        <v>16</v>
      </c>
      <c r="D5" s="2"/>
      <c r="E5" s="2">
        <v>739</v>
      </c>
      <c r="F5" s="2"/>
      <c r="G5" s="2"/>
      <c r="H5" s="2">
        <v>739</v>
      </c>
      <c r="I5" s="5">
        <v>32.58</v>
      </c>
      <c r="J5" s="5">
        <f>I5*E5</f>
        <v>24076.62</v>
      </c>
      <c r="K5" s="5">
        <v>27.74</v>
      </c>
      <c r="L5" s="2">
        <v>30.52</v>
      </c>
      <c r="M5" s="2">
        <f>L5*E5</f>
        <v>22554.28</v>
      </c>
      <c r="N5">
        <f>I5/K5</f>
        <v>1.174477289113194</v>
      </c>
    </row>
    <row r="6" spans="1:14">
      <c r="A6" s="2" t="s">
        <v>0</v>
      </c>
      <c r="B6" s="2">
        <v>2</v>
      </c>
      <c r="C6" s="2">
        <v>18</v>
      </c>
      <c r="D6" s="2"/>
      <c r="E6" s="2">
        <v>879.2</v>
      </c>
      <c r="F6" s="2"/>
      <c r="G6" s="2"/>
      <c r="H6" s="2">
        <v>879.2</v>
      </c>
      <c r="I6" s="2">
        <v>32.58</v>
      </c>
      <c r="J6" s="5">
        <f t="shared" ref="J6:J38" si="0">I6*E6</f>
        <v>28644.335999999999</v>
      </c>
      <c r="K6" s="5"/>
      <c r="L6" s="2">
        <v>30.52</v>
      </c>
      <c r="M6" s="2">
        <f t="shared" ref="M6:M38" si="1">L6*E6</f>
        <v>26833.184000000001</v>
      </c>
    </row>
    <row r="7" spans="1:14">
      <c r="A7" s="2" t="s">
        <v>1</v>
      </c>
      <c r="B7" s="2" t="s">
        <v>2</v>
      </c>
      <c r="C7" s="2">
        <v>25</v>
      </c>
      <c r="D7" s="2"/>
      <c r="E7" s="2">
        <v>1599</v>
      </c>
      <c r="F7" s="2"/>
      <c r="G7" s="2">
        <v>1599</v>
      </c>
      <c r="H7" s="2"/>
      <c r="I7" s="2">
        <v>19.5</v>
      </c>
      <c r="J7" s="5">
        <f t="shared" si="0"/>
        <v>31180.5</v>
      </c>
      <c r="K7" s="5">
        <v>15.24</v>
      </c>
      <c r="L7" s="2">
        <v>16.77</v>
      </c>
      <c r="M7" s="2">
        <f t="shared" si="1"/>
        <v>26815.23</v>
      </c>
      <c r="N7">
        <f>I7/K7</f>
        <v>1.2795275590551181</v>
      </c>
    </row>
    <row r="8" spans="1:14">
      <c r="A8" s="2" t="s">
        <v>1</v>
      </c>
      <c r="B8" s="2" t="s">
        <v>3</v>
      </c>
      <c r="C8" s="2">
        <v>24</v>
      </c>
      <c r="D8" s="2"/>
      <c r="E8" s="2">
        <v>1256</v>
      </c>
      <c r="F8" s="2"/>
      <c r="G8" s="2">
        <v>1256</v>
      </c>
      <c r="H8" s="2"/>
      <c r="I8" s="2">
        <v>19.5</v>
      </c>
      <c r="J8" s="5">
        <f t="shared" si="0"/>
        <v>24492</v>
      </c>
      <c r="K8" s="5"/>
      <c r="L8" s="2">
        <v>16.77</v>
      </c>
      <c r="M8" s="2">
        <f t="shared" si="1"/>
        <v>21063.119999999999</v>
      </c>
    </row>
    <row r="9" spans="1:14">
      <c r="A9" s="2" t="s">
        <v>1</v>
      </c>
      <c r="B9" s="2" t="s">
        <v>4</v>
      </c>
      <c r="C9" s="2">
        <v>16</v>
      </c>
      <c r="D9" s="2"/>
      <c r="E9" s="2">
        <v>571.20000000000005</v>
      </c>
      <c r="F9" s="2"/>
      <c r="G9" s="2">
        <v>571.20000000000005</v>
      </c>
      <c r="H9" s="2"/>
      <c r="I9" s="2">
        <v>19.5</v>
      </c>
      <c r="J9" s="5">
        <f t="shared" si="0"/>
        <v>11138.400000000001</v>
      </c>
      <c r="K9" s="5"/>
      <c r="L9" s="2">
        <v>16.77</v>
      </c>
      <c r="M9" s="2">
        <f t="shared" si="1"/>
        <v>9579.0240000000013</v>
      </c>
    </row>
    <row r="10" spans="1:14">
      <c r="A10" s="2" t="s">
        <v>5</v>
      </c>
      <c r="B10" s="2">
        <v>1</v>
      </c>
      <c r="C10" s="2">
        <v>24</v>
      </c>
      <c r="D10" s="2"/>
      <c r="E10" s="2">
        <v>1064.0999999999999</v>
      </c>
      <c r="F10" s="2"/>
      <c r="G10" s="2">
        <v>1064.0999999999999</v>
      </c>
      <c r="H10" s="2"/>
      <c r="I10" s="2">
        <v>19.5</v>
      </c>
      <c r="J10" s="5">
        <f t="shared" si="0"/>
        <v>20749.949999999997</v>
      </c>
      <c r="K10" s="5"/>
      <c r="L10" s="2">
        <v>16.77</v>
      </c>
      <c r="M10" s="2">
        <f t="shared" si="1"/>
        <v>17844.956999999999</v>
      </c>
    </row>
    <row r="11" spans="1:14">
      <c r="A11" s="2" t="s">
        <v>5</v>
      </c>
      <c r="B11" s="2" t="s">
        <v>6</v>
      </c>
      <c r="C11" s="2">
        <v>16</v>
      </c>
      <c r="D11" s="2"/>
      <c r="E11" s="2">
        <v>710.6</v>
      </c>
      <c r="F11" s="2"/>
      <c r="G11" s="2">
        <v>710.6</v>
      </c>
      <c r="H11" s="2"/>
      <c r="I11" s="2">
        <v>19.5</v>
      </c>
      <c r="J11" s="5">
        <f t="shared" si="0"/>
        <v>13856.7</v>
      </c>
      <c r="K11" s="5"/>
      <c r="L11" s="2">
        <v>16.77</v>
      </c>
      <c r="M11" s="2">
        <f t="shared" si="1"/>
        <v>11916.762000000001</v>
      </c>
    </row>
    <row r="12" spans="1:14">
      <c r="A12" s="2" t="s">
        <v>5</v>
      </c>
      <c r="B12" s="2" t="s">
        <v>7</v>
      </c>
      <c r="C12" s="2">
        <v>12</v>
      </c>
      <c r="D12" s="2"/>
      <c r="E12" s="2">
        <v>690.83</v>
      </c>
      <c r="F12" s="2"/>
      <c r="G12" s="2">
        <v>690.83</v>
      </c>
      <c r="H12" s="2"/>
      <c r="I12" s="2">
        <v>19.5</v>
      </c>
      <c r="J12" s="5">
        <f t="shared" si="0"/>
        <v>13471.185000000001</v>
      </c>
      <c r="K12" s="5"/>
      <c r="L12" s="2">
        <v>16.77</v>
      </c>
      <c r="M12" s="2">
        <f t="shared" si="1"/>
        <v>11585.2191</v>
      </c>
    </row>
    <row r="13" spans="1:14">
      <c r="A13" s="2" t="s">
        <v>8</v>
      </c>
      <c r="B13" s="2" t="s">
        <v>9</v>
      </c>
      <c r="C13" s="2">
        <v>19</v>
      </c>
      <c r="D13" s="2"/>
      <c r="E13" s="2">
        <v>935.9</v>
      </c>
      <c r="F13" s="2"/>
      <c r="G13" s="2">
        <v>935.9</v>
      </c>
      <c r="H13" s="2"/>
      <c r="I13" s="2">
        <v>19.5</v>
      </c>
      <c r="J13" s="5">
        <f t="shared" si="0"/>
        <v>18250.05</v>
      </c>
      <c r="K13" s="5"/>
      <c r="L13" s="2">
        <v>16.77</v>
      </c>
      <c r="M13" s="2">
        <f t="shared" si="1"/>
        <v>15695.043</v>
      </c>
    </row>
    <row r="14" spans="1:14">
      <c r="A14" s="2" t="s">
        <v>8</v>
      </c>
      <c r="B14" s="2" t="s">
        <v>10</v>
      </c>
      <c r="C14" s="2">
        <v>19</v>
      </c>
      <c r="D14" s="2"/>
      <c r="E14" s="2">
        <v>846.9</v>
      </c>
      <c r="F14" s="2"/>
      <c r="G14" s="2">
        <v>846.9</v>
      </c>
      <c r="H14" s="2"/>
      <c r="I14" s="2">
        <v>19.5</v>
      </c>
      <c r="J14" s="5">
        <f t="shared" si="0"/>
        <v>16514.55</v>
      </c>
      <c r="K14" s="5"/>
      <c r="L14" s="2">
        <v>16.77</v>
      </c>
      <c r="M14" s="2">
        <f t="shared" si="1"/>
        <v>14202.512999999999</v>
      </c>
    </row>
    <row r="15" spans="1:14">
      <c r="A15" s="2" t="s">
        <v>8</v>
      </c>
      <c r="B15" s="2" t="s">
        <v>11</v>
      </c>
      <c r="C15" s="2">
        <v>18</v>
      </c>
      <c r="D15" s="2"/>
      <c r="E15" s="2">
        <v>899.7</v>
      </c>
      <c r="F15" s="2"/>
      <c r="G15" s="2">
        <v>899.7</v>
      </c>
      <c r="H15" s="2"/>
      <c r="I15" s="2">
        <v>19.5</v>
      </c>
      <c r="J15" s="5">
        <f t="shared" si="0"/>
        <v>17544.150000000001</v>
      </c>
      <c r="K15" s="5"/>
      <c r="L15" s="2">
        <v>16.77</v>
      </c>
      <c r="M15" s="2">
        <f t="shared" si="1"/>
        <v>15087.969000000001</v>
      </c>
    </row>
    <row r="16" spans="1:14">
      <c r="A16" s="2" t="s">
        <v>8</v>
      </c>
      <c r="B16" s="2" t="s">
        <v>12</v>
      </c>
      <c r="C16" s="2">
        <v>17</v>
      </c>
      <c r="D16" s="2"/>
      <c r="E16" s="2">
        <v>911.2</v>
      </c>
      <c r="F16" s="2"/>
      <c r="G16" s="2">
        <v>911.2</v>
      </c>
      <c r="H16" s="2"/>
      <c r="I16" s="2">
        <v>19.5</v>
      </c>
      <c r="J16" s="5">
        <f t="shared" si="0"/>
        <v>17768.400000000001</v>
      </c>
      <c r="K16" s="5"/>
      <c r="L16" s="2">
        <v>16.77</v>
      </c>
      <c r="M16" s="2">
        <f t="shared" si="1"/>
        <v>15280.824000000001</v>
      </c>
    </row>
    <row r="17" spans="1:14">
      <c r="A17" s="2" t="s">
        <v>13</v>
      </c>
      <c r="B17" s="2">
        <v>15</v>
      </c>
      <c r="C17" s="2">
        <v>60</v>
      </c>
      <c r="D17" s="2"/>
      <c r="E17" s="2">
        <v>2600</v>
      </c>
      <c r="F17" s="2">
        <v>2600</v>
      </c>
      <c r="G17" s="2"/>
      <c r="H17" s="2"/>
      <c r="I17" s="2">
        <v>21.8</v>
      </c>
      <c r="J17" s="5">
        <f t="shared" si="0"/>
        <v>56680</v>
      </c>
      <c r="K17" s="5"/>
      <c r="L17" s="2">
        <v>17.57</v>
      </c>
      <c r="M17" s="2">
        <f t="shared" si="1"/>
        <v>45682</v>
      </c>
    </row>
    <row r="18" spans="1:14">
      <c r="A18" s="2" t="s">
        <v>14</v>
      </c>
      <c r="B18" s="2" t="s">
        <v>15</v>
      </c>
      <c r="C18" s="2">
        <v>4</v>
      </c>
      <c r="D18" s="2"/>
      <c r="E18" s="2">
        <v>261.8</v>
      </c>
      <c r="F18" s="2"/>
      <c r="G18" s="2">
        <v>261.8</v>
      </c>
      <c r="H18" s="2"/>
      <c r="I18" s="2">
        <v>19.5</v>
      </c>
      <c r="J18" s="5">
        <f t="shared" si="0"/>
        <v>5105.1000000000004</v>
      </c>
      <c r="K18" s="5"/>
      <c r="L18" s="2">
        <v>15.66</v>
      </c>
      <c r="M18" s="2">
        <f t="shared" si="1"/>
        <v>4099.7880000000005</v>
      </c>
    </row>
    <row r="19" spans="1:14">
      <c r="A19" s="2" t="s">
        <v>16</v>
      </c>
      <c r="B19" s="2" t="s">
        <v>6</v>
      </c>
      <c r="C19" s="2">
        <v>60</v>
      </c>
      <c r="D19" s="2"/>
      <c r="E19" s="2">
        <v>2582.5</v>
      </c>
      <c r="F19" s="2">
        <v>2582.5</v>
      </c>
      <c r="G19" s="2"/>
      <c r="H19" s="2"/>
      <c r="I19" s="2">
        <v>21.8</v>
      </c>
      <c r="J19" s="5">
        <f t="shared" si="0"/>
        <v>56298.5</v>
      </c>
      <c r="K19" s="5">
        <v>15.97</v>
      </c>
      <c r="L19" s="2">
        <v>17.57</v>
      </c>
      <c r="M19" s="2">
        <f t="shared" si="1"/>
        <v>45374.525000000001</v>
      </c>
      <c r="N19">
        <f>I19/K19</f>
        <v>1.3650594865372574</v>
      </c>
    </row>
    <row r="20" spans="1:14">
      <c r="A20" s="2" t="s">
        <v>16</v>
      </c>
      <c r="B20" s="2" t="s">
        <v>9</v>
      </c>
      <c r="C20" s="2">
        <v>60</v>
      </c>
      <c r="D20" s="2"/>
      <c r="E20" s="2">
        <v>2596</v>
      </c>
      <c r="F20" s="2">
        <v>2596</v>
      </c>
      <c r="G20" s="2"/>
      <c r="H20" s="2"/>
      <c r="I20" s="2">
        <v>21.8</v>
      </c>
      <c r="J20" s="5">
        <f t="shared" si="0"/>
        <v>56592.800000000003</v>
      </c>
      <c r="K20" s="5"/>
      <c r="L20" s="2">
        <v>17.57</v>
      </c>
      <c r="M20" s="2">
        <f t="shared" si="1"/>
        <v>45611.72</v>
      </c>
    </row>
    <row r="21" spans="1:14">
      <c r="A21" s="2" t="s">
        <v>17</v>
      </c>
      <c r="B21" s="2" t="s">
        <v>6</v>
      </c>
      <c r="C21" s="2">
        <v>4</v>
      </c>
      <c r="D21" s="2"/>
      <c r="E21" s="2">
        <v>222.4</v>
      </c>
      <c r="F21" s="2"/>
      <c r="G21" s="2"/>
      <c r="H21" s="2">
        <v>222.4</v>
      </c>
      <c r="I21" s="2">
        <v>32.58</v>
      </c>
      <c r="J21" s="5">
        <f t="shared" si="0"/>
        <v>7245.7919999999995</v>
      </c>
      <c r="K21" s="5"/>
      <c r="L21" s="2">
        <v>30.52</v>
      </c>
      <c r="M21" s="2">
        <f t="shared" si="1"/>
        <v>6787.6480000000001</v>
      </c>
    </row>
    <row r="22" spans="1:14">
      <c r="A22" s="2" t="s">
        <v>17</v>
      </c>
      <c r="B22" s="2">
        <v>4</v>
      </c>
      <c r="C22" s="2">
        <v>4</v>
      </c>
      <c r="D22" s="2"/>
      <c r="E22" s="2">
        <v>208.8</v>
      </c>
      <c r="F22" s="2"/>
      <c r="G22" s="2">
        <v>208.8</v>
      </c>
      <c r="H22" s="2"/>
      <c r="I22" s="2">
        <v>19.5</v>
      </c>
      <c r="J22" s="5">
        <f t="shared" si="0"/>
        <v>4071.6000000000004</v>
      </c>
      <c r="K22" s="5"/>
      <c r="L22" s="2">
        <v>16.77</v>
      </c>
      <c r="M22" s="2">
        <f t="shared" si="1"/>
        <v>3501.576</v>
      </c>
    </row>
    <row r="23" spans="1:14">
      <c r="A23" s="2" t="s">
        <v>17</v>
      </c>
      <c r="B23" s="2">
        <v>6</v>
      </c>
      <c r="C23" s="2">
        <v>8</v>
      </c>
      <c r="D23" s="2"/>
      <c r="E23" s="2">
        <v>355.4</v>
      </c>
      <c r="F23" s="2"/>
      <c r="G23" s="2"/>
      <c r="H23" s="2">
        <v>355.4</v>
      </c>
      <c r="I23" s="2">
        <v>32.58</v>
      </c>
      <c r="J23" s="5">
        <f t="shared" si="0"/>
        <v>11578.931999999999</v>
      </c>
      <c r="K23" s="5"/>
      <c r="L23" s="2">
        <v>26.23</v>
      </c>
      <c r="M23" s="2">
        <f t="shared" si="1"/>
        <v>9322.1419999999998</v>
      </c>
    </row>
    <row r="24" spans="1:14">
      <c r="A24" s="2" t="s">
        <v>17</v>
      </c>
      <c r="B24" s="2">
        <v>14</v>
      </c>
      <c r="C24" s="2">
        <v>18</v>
      </c>
      <c r="D24" s="2"/>
      <c r="E24" s="2">
        <v>719.52</v>
      </c>
      <c r="F24" s="2"/>
      <c r="G24" s="2"/>
      <c r="H24" s="2">
        <v>719.52</v>
      </c>
      <c r="I24" s="2">
        <v>32.58</v>
      </c>
      <c r="J24" s="5">
        <f t="shared" si="0"/>
        <v>23441.961599999999</v>
      </c>
      <c r="K24" s="5"/>
      <c r="L24" s="2">
        <v>30.52</v>
      </c>
      <c r="M24" s="2">
        <f t="shared" si="1"/>
        <v>21959.750400000001</v>
      </c>
    </row>
    <row r="25" spans="1:14">
      <c r="A25" s="2" t="s">
        <v>17</v>
      </c>
      <c r="B25" s="2">
        <v>16</v>
      </c>
      <c r="C25" s="2">
        <v>16</v>
      </c>
      <c r="D25" s="2"/>
      <c r="E25" s="2">
        <v>728.2</v>
      </c>
      <c r="F25" s="2"/>
      <c r="G25" s="2"/>
      <c r="H25" s="2">
        <v>728.2</v>
      </c>
      <c r="I25" s="2">
        <v>32.58</v>
      </c>
      <c r="J25" s="5">
        <f t="shared" si="0"/>
        <v>23724.756000000001</v>
      </c>
      <c r="K25" s="5"/>
      <c r="L25" s="2">
        <v>30.52</v>
      </c>
      <c r="M25" s="2">
        <f t="shared" si="1"/>
        <v>22224.664000000001</v>
      </c>
    </row>
    <row r="26" spans="1:14">
      <c r="A26" s="2" t="s">
        <v>17</v>
      </c>
      <c r="B26" s="2">
        <v>18</v>
      </c>
      <c r="C26" s="2">
        <v>16</v>
      </c>
      <c r="D26" s="2"/>
      <c r="E26" s="2">
        <v>738.6</v>
      </c>
      <c r="F26" s="2"/>
      <c r="G26" s="2"/>
      <c r="H26" s="2">
        <v>738.6</v>
      </c>
      <c r="I26" s="2">
        <v>32.58</v>
      </c>
      <c r="J26" s="5">
        <f t="shared" si="0"/>
        <v>24063.588</v>
      </c>
      <c r="K26" s="5"/>
      <c r="L26" s="2">
        <v>30.52</v>
      </c>
      <c r="M26" s="2">
        <f t="shared" si="1"/>
        <v>22542.072</v>
      </c>
    </row>
    <row r="27" spans="1:14">
      <c r="A27" s="2" t="s">
        <v>17</v>
      </c>
      <c r="B27" s="2">
        <v>20</v>
      </c>
      <c r="C27" s="2">
        <v>17</v>
      </c>
      <c r="D27" s="2"/>
      <c r="E27" s="2">
        <v>721.8</v>
      </c>
      <c r="F27" s="2"/>
      <c r="G27" s="2"/>
      <c r="H27" s="2">
        <v>721.8</v>
      </c>
      <c r="I27" s="2">
        <v>32.58</v>
      </c>
      <c r="J27" s="5">
        <f t="shared" si="0"/>
        <v>23516.243999999999</v>
      </c>
      <c r="K27" s="5"/>
      <c r="L27" s="2">
        <v>30.52</v>
      </c>
      <c r="M27" s="2">
        <f t="shared" si="1"/>
        <v>22029.335999999999</v>
      </c>
    </row>
    <row r="28" spans="1:14">
      <c r="A28" s="2" t="s">
        <v>17</v>
      </c>
      <c r="B28" s="2" t="s">
        <v>18</v>
      </c>
      <c r="C28" s="2">
        <v>16</v>
      </c>
      <c r="D28" s="2"/>
      <c r="E28" s="2">
        <v>783.1</v>
      </c>
      <c r="F28" s="2"/>
      <c r="G28" s="2"/>
      <c r="H28" s="2">
        <v>783.1</v>
      </c>
      <c r="I28" s="2">
        <v>32.58</v>
      </c>
      <c r="J28" s="5">
        <f t="shared" si="0"/>
        <v>25513.398000000001</v>
      </c>
      <c r="K28" s="5"/>
      <c r="L28" s="2">
        <v>26.23</v>
      </c>
      <c r="M28" s="2">
        <f t="shared" si="1"/>
        <v>20540.713</v>
      </c>
    </row>
    <row r="29" spans="1:14">
      <c r="A29" s="2" t="s">
        <v>19</v>
      </c>
      <c r="B29" s="2">
        <v>2</v>
      </c>
      <c r="C29" s="2">
        <v>4</v>
      </c>
      <c r="D29" s="2"/>
      <c r="E29" s="2">
        <v>222.1</v>
      </c>
      <c r="F29" s="2"/>
      <c r="G29" s="2"/>
      <c r="H29" s="2">
        <v>222.1</v>
      </c>
      <c r="I29" s="2">
        <v>32.58</v>
      </c>
      <c r="J29" s="5">
        <f t="shared" si="0"/>
        <v>7236.0179999999991</v>
      </c>
      <c r="K29" s="5"/>
      <c r="L29" s="2">
        <v>16.77</v>
      </c>
      <c r="M29" s="2">
        <f t="shared" si="1"/>
        <v>3724.6169999999997</v>
      </c>
    </row>
    <row r="30" spans="1:14">
      <c r="A30" s="2" t="s">
        <v>19</v>
      </c>
      <c r="B30" s="2" t="s">
        <v>6</v>
      </c>
      <c r="C30" s="2">
        <v>120</v>
      </c>
      <c r="D30" s="2"/>
      <c r="E30" s="2">
        <v>5120.2</v>
      </c>
      <c r="F30" s="2">
        <v>5120.2</v>
      </c>
      <c r="G30" s="2"/>
      <c r="H30" s="2"/>
      <c r="I30" s="2">
        <v>21.8</v>
      </c>
      <c r="J30" s="5">
        <f t="shared" si="0"/>
        <v>111620.36</v>
      </c>
      <c r="K30" s="5"/>
      <c r="L30" s="2">
        <v>17.57</v>
      </c>
      <c r="M30" s="2">
        <f t="shared" si="1"/>
        <v>89961.914000000004</v>
      </c>
    </row>
    <row r="31" spans="1:14">
      <c r="A31" s="2" t="s">
        <v>19</v>
      </c>
      <c r="B31" s="2" t="s">
        <v>9</v>
      </c>
      <c r="C31" s="2">
        <v>59</v>
      </c>
      <c r="D31" s="2"/>
      <c r="E31" s="2">
        <v>2514.5</v>
      </c>
      <c r="F31" s="2">
        <v>2514.5</v>
      </c>
      <c r="G31" s="2"/>
      <c r="H31" s="2"/>
      <c r="I31" s="2">
        <v>21.8</v>
      </c>
      <c r="J31" s="5">
        <f t="shared" si="0"/>
        <v>54816.1</v>
      </c>
      <c r="K31" s="5"/>
      <c r="L31" s="2">
        <v>17.57</v>
      </c>
      <c r="M31" s="2">
        <f t="shared" si="1"/>
        <v>44179.764999999999</v>
      </c>
    </row>
    <row r="32" spans="1:14">
      <c r="A32" s="2" t="s">
        <v>19</v>
      </c>
      <c r="B32" s="2" t="s">
        <v>11</v>
      </c>
      <c r="C32" s="2">
        <v>60</v>
      </c>
      <c r="D32" s="2"/>
      <c r="E32" s="2">
        <v>2564.1999999999998</v>
      </c>
      <c r="F32" s="2">
        <v>2564.1999999999998</v>
      </c>
      <c r="G32" s="2"/>
      <c r="H32" s="2"/>
      <c r="I32" s="2">
        <v>21.8</v>
      </c>
      <c r="J32" s="5">
        <f t="shared" si="0"/>
        <v>55899.56</v>
      </c>
      <c r="K32" s="5"/>
      <c r="L32" s="2">
        <v>17.57</v>
      </c>
      <c r="M32" s="2">
        <f t="shared" si="1"/>
        <v>45052.993999999999</v>
      </c>
    </row>
    <row r="33" spans="1:17">
      <c r="A33" s="2" t="s">
        <v>19</v>
      </c>
      <c r="B33" s="2" t="s">
        <v>7</v>
      </c>
      <c r="C33" s="2">
        <v>62</v>
      </c>
      <c r="D33" s="2"/>
      <c r="E33" s="2">
        <v>2637.5</v>
      </c>
      <c r="F33" s="2">
        <v>2637.5</v>
      </c>
      <c r="G33" s="2"/>
      <c r="H33" s="2"/>
      <c r="I33" s="2">
        <v>21.8</v>
      </c>
      <c r="J33" s="5">
        <f t="shared" si="0"/>
        <v>57497.5</v>
      </c>
      <c r="K33" s="5"/>
      <c r="L33" s="2">
        <v>17.57</v>
      </c>
      <c r="M33" s="2">
        <f t="shared" si="1"/>
        <v>46340.875</v>
      </c>
    </row>
    <row r="34" spans="1:17">
      <c r="A34" s="2" t="s">
        <v>19</v>
      </c>
      <c r="B34" s="2" t="s">
        <v>20</v>
      </c>
      <c r="C34" s="2">
        <v>114</v>
      </c>
      <c r="D34" s="2"/>
      <c r="E34" s="2">
        <v>2334.8000000000002</v>
      </c>
      <c r="F34" s="2">
        <v>2334.8000000000002</v>
      </c>
      <c r="G34" s="2"/>
      <c r="H34" s="2"/>
      <c r="I34" s="2">
        <v>21.8</v>
      </c>
      <c r="J34" s="5">
        <f t="shared" si="0"/>
        <v>50898.640000000007</v>
      </c>
      <c r="K34" s="5"/>
      <c r="L34" s="2">
        <v>17.57</v>
      </c>
      <c r="M34" s="2">
        <f t="shared" si="1"/>
        <v>41022.436000000002</v>
      </c>
      <c r="N34">
        <v>32.58</v>
      </c>
      <c r="O34">
        <f>N34*E34</f>
        <v>76067.784</v>
      </c>
    </row>
    <row r="35" spans="1:17">
      <c r="A35" s="2" t="s">
        <v>19</v>
      </c>
      <c r="B35" s="2" t="s">
        <v>21</v>
      </c>
      <c r="C35" s="2">
        <v>122</v>
      </c>
      <c r="D35" s="2"/>
      <c r="E35" s="2">
        <v>2348.9</v>
      </c>
      <c r="F35" s="2">
        <v>2348.9</v>
      </c>
      <c r="G35" s="2"/>
      <c r="H35" s="2"/>
      <c r="I35" s="2">
        <v>21.8</v>
      </c>
      <c r="J35" s="5">
        <f t="shared" si="0"/>
        <v>51206.020000000004</v>
      </c>
      <c r="K35" s="5"/>
      <c r="L35" s="2">
        <v>17.57</v>
      </c>
      <c r="M35" s="2">
        <f t="shared" si="1"/>
        <v>41270.173000000003</v>
      </c>
      <c r="N35">
        <v>32.58</v>
      </c>
      <c r="O35">
        <f>N35*E35</f>
        <v>76527.161999999997</v>
      </c>
    </row>
    <row r="36" spans="1:17">
      <c r="A36" s="2" t="s">
        <v>19</v>
      </c>
      <c r="B36" s="2" t="s">
        <v>3</v>
      </c>
      <c r="C36" s="2">
        <v>60</v>
      </c>
      <c r="D36" s="2"/>
      <c r="E36" s="2">
        <v>3230.36</v>
      </c>
      <c r="F36" s="2">
        <v>3230.36</v>
      </c>
      <c r="G36" s="2"/>
      <c r="H36" s="2"/>
      <c r="I36" s="2">
        <v>21.8</v>
      </c>
      <c r="J36" s="5">
        <f t="shared" si="0"/>
        <v>70421.847999999998</v>
      </c>
      <c r="K36" s="5"/>
      <c r="L36" s="2">
        <v>17.57</v>
      </c>
      <c r="M36" s="2">
        <f t="shared" si="1"/>
        <v>56757.425200000005</v>
      </c>
    </row>
    <row r="37" spans="1:17">
      <c r="A37" s="2" t="s">
        <v>19</v>
      </c>
      <c r="B37" s="2" t="s">
        <v>22</v>
      </c>
      <c r="C37" s="2">
        <v>70</v>
      </c>
      <c r="D37" s="2"/>
      <c r="E37" s="2">
        <v>2360.1</v>
      </c>
      <c r="F37" s="2">
        <v>2360.1</v>
      </c>
      <c r="G37" s="2"/>
      <c r="H37" s="2"/>
      <c r="I37" s="2">
        <v>21.8</v>
      </c>
      <c r="J37" s="5">
        <f t="shared" si="0"/>
        <v>51450.18</v>
      </c>
      <c r="K37" s="5"/>
      <c r="L37" s="2">
        <v>17.57</v>
      </c>
      <c r="M37" s="2">
        <f t="shared" si="1"/>
        <v>41466.957000000002</v>
      </c>
    </row>
    <row r="38" spans="1:17">
      <c r="A38" s="2" t="s">
        <v>23</v>
      </c>
      <c r="B38" s="2" t="s">
        <v>24</v>
      </c>
      <c r="C38" s="2">
        <v>24</v>
      </c>
      <c r="D38" s="2"/>
      <c r="E38" s="2">
        <v>1236.4000000000001</v>
      </c>
      <c r="F38" s="2"/>
      <c r="G38" s="2"/>
      <c r="H38" s="2">
        <v>1236.4000000000001</v>
      </c>
      <c r="I38" s="5">
        <v>32.58</v>
      </c>
      <c r="J38" s="5">
        <f t="shared" si="0"/>
        <v>40281.912000000004</v>
      </c>
      <c r="K38" s="5"/>
      <c r="L38" s="2">
        <v>30.52</v>
      </c>
      <c r="M38" s="2">
        <f t="shared" si="1"/>
        <v>37734.928</v>
      </c>
    </row>
    <row r="39" spans="1:17">
      <c r="A39" s="3" t="s">
        <v>33</v>
      </c>
      <c r="B39" s="3"/>
      <c r="C39" s="3">
        <v>1902</v>
      </c>
      <c r="D39" s="3"/>
      <c r="E39" s="3">
        <f>SUM(E5:E38)</f>
        <v>48190.810000000005</v>
      </c>
      <c r="F39" s="3">
        <f>SUM(F5:F38)</f>
        <v>30889.06</v>
      </c>
      <c r="G39" s="3">
        <f>SUM(G5:G38)</f>
        <v>9956.0299999999988</v>
      </c>
      <c r="H39" s="3">
        <f>SUM(H5:H38)</f>
        <v>7345.7200000000012</v>
      </c>
      <c r="I39" s="2"/>
      <c r="J39" s="5">
        <f>SUM(J5:J38)</f>
        <v>1106847.6506000001</v>
      </c>
      <c r="K39" s="5"/>
      <c r="L39" s="2"/>
      <c r="M39" s="2">
        <f>SUM(M5:M38)</f>
        <v>925646.14370000002</v>
      </c>
      <c r="O39">
        <f>SUM(O34:O38)</f>
        <v>152594.946</v>
      </c>
      <c r="Q39">
        <f>M39+O39</f>
        <v>1078241.0896999999</v>
      </c>
    </row>
    <row r="40" spans="1:17">
      <c r="F40">
        <f>F39*18.85*12/1000</f>
        <v>6987.1053720000018</v>
      </c>
      <c r="G40">
        <f>G39*17.83*12/1000</f>
        <v>2130.1921787999995</v>
      </c>
      <c r="H40">
        <f>H39*30.24*12/1000</f>
        <v>2665.6148736000005</v>
      </c>
      <c r="J40">
        <v>1187421.55</v>
      </c>
    </row>
    <row r="41" spans="1:17">
      <c r="H41">
        <f>F40+G40+H40</f>
        <v>11782.912424400001</v>
      </c>
      <c r="J41" s="4">
        <f>J39-J40</f>
        <v>-80573.899399999995</v>
      </c>
      <c r="K41" s="4"/>
    </row>
    <row r="42" spans="1:17">
      <c r="J42">
        <f>J39*12</f>
        <v>13282171.8072</v>
      </c>
    </row>
    <row r="43" spans="1:17">
      <c r="A43" t="s">
        <v>34</v>
      </c>
      <c r="C43">
        <f>F39</f>
        <v>30889.06</v>
      </c>
      <c r="J43">
        <v>1053641</v>
      </c>
    </row>
    <row r="44" spans="1:17">
      <c r="A44" t="s">
        <v>35</v>
      </c>
      <c r="C44">
        <f>G39</f>
        <v>9956.0299999999988</v>
      </c>
      <c r="J44">
        <v>13275885</v>
      </c>
    </row>
    <row r="45" spans="1:17">
      <c r="A45" t="s">
        <v>36</v>
      </c>
      <c r="C45">
        <f>H39</f>
        <v>7345.7200000000012</v>
      </c>
      <c r="J45">
        <f>J42-J44</f>
        <v>6286.8071999996901</v>
      </c>
    </row>
    <row r="46" spans="1:17">
      <c r="A46" t="s">
        <v>46</v>
      </c>
      <c r="C46">
        <v>783.1</v>
      </c>
    </row>
    <row r="48" spans="1:17">
      <c r="A48" t="s">
        <v>40</v>
      </c>
      <c r="C48">
        <f>C43+E38</f>
        <v>32125.460000000003</v>
      </c>
    </row>
    <row r="51" spans="1:10">
      <c r="A51" t="s">
        <v>41</v>
      </c>
      <c r="C51">
        <v>8477.7000000000007</v>
      </c>
      <c r="H51">
        <v>92</v>
      </c>
      <c r="I51">
        <f>(15383.4/12-209.8)/(48190.81+962.3)*1000</f>
        <v>21.812455000304155</v>
      </c>
    </row>
    <row r="52" spans="1:10">
      <c r="A52" t="s">
        <v>42</v>
      </c>
      <c r="C52">
        <f>658.84-52.9</f>
        <v>605.94000000000005</v>
      </c>
      <c r="E52">
        <f>C52/C45/7*1000</f>
        <v>11.784121521492398</v>
      </c>
      <c r="G52">
        <f>C52*1.18</f>
        <v>715.00920000000008</v>
      </c>
      <c r="H52">
        <f>G52/7</f>
        <v>102.14417142857144</v>
      </c>
    </row>
    <row r="53" spans="1:10">
      <c r="A53" t="s">
        <v>45</v>
      </c>
      <c r="C53">
        <v>52.9</v>
      </c>
      <c r="E53">
        <f>C53*1000/C46/7</f>
        <v>9.6502909681303244</v>
      </c>
      <c r="G53">
        <f>C53*1.18</f>
        <v>62.421999999999997</v>
      </c>
      <c r="H53">
        <f>G53/7</f>
        <v>8.9174285714285713</v>
      </c>
    </row>
    <row r="54" spans="1:10">
      <c r="A54" t="s">
        <v>43</v>
      </c>
      <c r="C54">
        <f>(409.8+145.2)+14*7</f>
        <v>653</v>
      </c>
      <c r="E54">
        <f>C54*1000/E39/7</f>
        <v>1.93575734223422</v>
      </c>
      <c r="H54">
        <f>0.25*7.8*1.12*1.342</f>
        <v>2.9309280000000002</v>
      </c>
    </row>
    <row r="55" spans="1:10">
      <c r="A55" t="s">
        <v>47</v>
      </c>
      <c r="C55">
        <v>759.11</v>
      </c>
      <c r="E55">
        <f>C55*1000/C48/7</f>
        <v>3.3756492736379715</v>
      </c>
      <c r="G55">
        <f>10*7.8*1.12*1.342</f>
        <v>117.23712000000002</v>
      </c>
      <c r="H55">
        <f>G55*1000/C43</f>
        <v>3.7954253059173708</v>
      </c>
    </row>
    <row r="56" spans="1:10">
      <c r="H56">
        <f>SUM(H51:H55)</f>
        <v>209.78795330591737</v>
      </c>
    </row>
    <row r="57" spans="1:10" ht="53.25" customHeight="1">
      <c r="C57" s="53" t="s">
        <v>123</v>
      </c>
      <c r="D57" s="53"/>
      <c r="E57" s="53"/>
    </row>
    <row r="58" spans="1:10" ht="53.25" customHeight="1">
      <c r="C58" s="85" t="s">
        <v>158</v>
      </c>
      <c r="D58" s="85"/>
      <c r="E58" s="85"/>
    </row>
    <row r="59" spans="1:10" ht="53.25" customHeight="1">
      <c r="A59" s="70" t="s">
        <v>145</v>
      </c>
      <c r="B59" s="70"/>
      <c r="C59" s="70"/>
      <c r="D59" s="70"/>
      <c r="E59" s="70"/>
    </row>
    <row r="60" spans="1:10" ht="84" customHeight="1">
      <c r="A60" s="10" t="s">
        <v>141</v>
      </c>
      <c r="B60" s="16" t="s">
        <v>142</v>
      </c>
      <c r="C60" s="10" t="s">
        <v>143</v>
      </c>
      <c r="D60" s="10" t="s">
        <v>148</v>
      </c>
      <c r="E60" s="10" t="s">
        <v>144</v>
      </c>
    </row>
    <row r="61" spans="1:10">
      <c r="A61" s="71" t="s">
        <v>52</v>
      </c>
      <c r="B61" s="2" t="s">
        <v>49</v>
      </c>
      <c r="C61" s="2"/>
      <c r="D61" s="2"/>
      <c r="E61" s="30">
        <v>14.78</v>
      </c>
      <c r="F61" s="4"/>
    </row>
    <row r="62" spans="1:10">
      <c r="A62" s="72"/>
      <c r="B62" s="2" t="s">
        <v>121</v>
      </c>
      <c r="C62" s="2"/>
      <c r="D62" s="2"/>
      <c r="E62" s="29">
        <v>2.74</v>
      </c>
      <c r="F62" s="4"/>
      <c r="G62">
        <v>1.94</v>
      </c>
      <c r="I62">
        <f>2.41+3.41+9.17+0.31+1.68</f>
        <v>16.98</v>
      </c>
      <c r="J62" t="s">
        <v>61</v>
      </c>
    </row>
    <row r="63" spans="1:10">
      <c r="A63" s="72"/>
      <c r="B63" s="2" t="s">
        <v>122</v>
      </c>
      <c r="C63" s="2"/>
      <c r="D63" s="2">
        <v>0.31</v>
      </c>
      <c r="E63" s="29">
        <v>0.31</v>
      </c>
      <c r="F63" s="4"/>
    </row>
    <row r="64" spans="1:10">
      <c r="A64" s="73"/>
      <c r="B64" s="2"/>
      <c r="C64" s="3">
        <v>15.24</v>
      </c>
      <c r="D64" s="3">
        <f>C64*1.2+0.31</f>
        <v>18.597999999999999</v>
      </c>
      <c r="E64" s="34">
        <f>SUM(E61:E63)</f>
        <v>17.829999999999998</v>
      </c>
      <c r="F64" s="4">
        <f>E64/C64</f>
        <v>1.1699475065616796</v>
      </c>
      <c r="G64">
        <f>D64/C64</f>
        <v>1.2203412073490814</v>
      </c>
      <c r="I64">
        <v>1.94</v>
      </c>
      <c r="J64" t="s">
        <v>43</v>
      </c>
    </row>
    <row r="66" spans="1:10" ht="53.25" customHeight="1">
      <c r="A66" s="39"/>
      <c r="B66" s="54" t="s">
        <v>158</v>
      </c>
      <c r="C66" s="54"/>
      <c r="D66" s="54"/>
      <c r="E66" s="54"/>
    </row>
    <row r="67" spans="1:10" ht="53.25" customHeight="1">
      <c r="A67" s="55" t="s">
        <v>145</v>
      </c>
      <c r="B67" s="55"/>
      <c r="C67" s="55"/>
      <c r="D67" s="55"/>
      <c r="E67" s="55"/>
    </row>
    <row r="68" spans="1:10" ht="97.5" customHeight="1">
      <c r="A68" s="40" t="s">
        <v>141</v>
      </c>
      <c r="B68" s="41" t="s">
        <v>142</v>
      </c>
      <c r="C68" s="40" t="s">
        <v>170</v>
      </c>
      <c r="D68" s="40" t="s">
        <v>171</v>
      </c>
      <c r="E68" s="40" t="s">
        <v>144</v>
      </c>
      <c r="J68">
        <v>710.6</v>
      </c>
    </row>
    <row r="69" spans="1:10" ht="15.75">
      <c r="A69" s="56" t="s">
        <v>184</v>
      </c>
      <c r="B69" s="42" t="s">
        <v>165</v>
      </c>
      <c r="C69" s="48">
        <f>C72-C71-C70</f>
        <v>132597.96000000002</v>
      </c>
      <c r="D69" s="42">
        <f>C69/J68/12</f>
        <v>15.550000000000002</v>
      </c>
      <c r="E69" s="43">
        <v>14.78</v>
      </c>
      <c r="F69" s="4"/>
      <c r="J69" t="s">
        <v>120</v>
      </c>
    </row>
    <row r="70" spans="1:10" ht="15.75">
      <c r="A70" s="57"/>
      <c r="B70" s="42" t="s">
        <v>172</v>
      </c>
      <c r="C70" s="48">
        <f>D70*J68*12</f>
        <v>23364.528000000006</v>
      </c>
      <c r="D70" s="42">
        <v>2.74</v>
      </c>
      <c r="E70" s="44">
        <v>2.74</v>
      </c>
      <c r="F70" s="4"/>
      <c r="G70">
        <v>1.94</v>
      </c>
      <c r="I70">
        <v>18.850000000000001</v>
      </c>
    </row>
    <row r="71" spans="1:10" ht="15.75">
      <c r="A71" s="57"/>
      <c r="B71" s="42" t="s">
        <v>174</v>
      </c>
      <c r="C71" s="48">
        <f>J68*12*D71</f>
        <v>2643.4320000000002</v>
      </c>
      <c r="D71" s="42">
        <v>0.31</v>
      </c>
      <c r="E71" s="43">
        <v>0.31</v>
      </c>
      <c r="F71" s="4"/>
    </row>
    <row r="72" spans="1:10" ht="15.75">
      <c r="A72" s="58"/>
      <c r="B72" s="42"/>
      <c r="C72" s="49">
        <f>J68*12*D72</f>
        <v>158605.92000000001</v>
      </c>
      <c r="D72" s="45">
        <v>18.600000000000001</v>
      </c>
      <c r="E72" s="46">
        <f>SUM(E69:E71)</f>
        <v>17.829999999999998</v>
      </c>
      <c r="F72" s="4">
        <f>E72/C72</f>
        <v>1.1241698922713601E-4</v>
      </c>
      <c r="G72">
        <f>D72/C72</f>
        <v>1.1727178909841448E-4</v>
      </c>
    </row>
    <row r="73" spans="1:10" ht="15.75">
      <c r="A73" s="39"/>
      <c r="B73" s="39"/>
      <c r="C73" s="39"/>
      <c r="D73" s="39"/>
      <c r="E73" s="39"/>
    </row>
    <row r="74" spans="1:10" ht="15.75">
      <c r="A74" s="59" t="s">
        <v>125</v>
      </c>
      <c r="B74" s="59"/>
      <c r="C74" s="59"/>
      <c r="D74" s="59"/>
      <c r="E74" s="59"/>
      <c r="G74">
        <v>1053640</v>
      </c>
    </row>
    <row r="75" spans="1:10" ht="22.5" customHeight="1">
      <c r="A75" s="50" t="s">
        <v>159</v>
      </c>
      <c r="B75" s="50"/>
      <c r="C75" s="50"/>
      <c r="D75" s="50"/>
      <c r="E75" s="50"/>
    </row>
    <row r="76" spans="1:10" ht="15.75">
      <c r="A76" s="50" t="s">
        <v>160</v>
      </c>
      <c r="B76" s="50"/>
      <c r="C76" s="50"/>
      <c r="D76" s="50"/>
      <c r="E76" s="50"/>
    </row>
    <row r="77" spans="1:10" ht="15.75">
      <c r="A77" s="50" t="s">
        <v>161</v>
      </c>
      <c r="B77" s="50"/>
      <c r="C77" s="50"/>
      <c r="D77" s="50"/>
      <c r="E77" s="50"/>
    </row>
    <row r="78" spans="1:10" ht="15.75">
      <c r="A78" s="50" t="s">
        <v>162</v>
      </c>
      <c r="B78" s="50"/>
      <c r="C78" s="50"/>
      <c r="D78" s="50"/>
      <c r="E78" s="50"/>
    </row>
    <row r="79" spans="1:10" ht="25.5" customHeight="1">
      <c r="A79" s="50" t="s">
        <v>163</v>
      </c>
      <c r="B79" s="50"/>
      <c r="C79" s="50"/>
      <c r="D79" s="50"/>
      <c r="E79" s="50"/>
    </row>
    <row r="80" spans="1:10" ht="15.75">
      <c r="A80" s="50" t="s">
        <v>164</v>
      </c>
      <c r="B80" s="50"/>
      <c r="C80" s="50"/>
      <c r="D80" s="50"/>
      <c r="E80" s="50"/>
    </row>
    <row r="81" spans="1:7" ht="32.25" customHeight="1">
      <c r="A81" s="50" t="s">
        <v>185</v>
      </c>
      <c r="B81" s="50"/>
      <c r="C81" s="50"/>
      <c r="D81" s="50"/>
      <c r="E81" s="50"/>
    </row>
    <row r="82" spans="1:7" ht="33" customHeight="1">
      <c r="A82" s="50" t="s">
        <v>186</v>
      </c>
      <c r="B82" s="50"/>
      <c r="C82" s="50"/>
      <c r="D82" s="50"/>
      <c r="E82" s="50"/>
    </row>
    <row r="83" spans="1:7" ht="15.75">
      <c r="A83" s="47"/>
      <c r="B83" s="47"/>
      <c r="C83" s="47"/>
      <c r="D83" s="47"/>
      <c r="E83" s="47"/>
    </row>
    <row r="84" spans="1:7" ht="15.75">
      <c r="A84" s="51" t="s">
        <v>169</v>
      </c>
      <c r="B84" s="51"/>
      <c r="C84" s="51"/>
      <c r="D84" s="51"/>
      <c r="E84" s="51"/>
    </row>
    <row r="85" spans="1:7">
      <c r="A85" t="s">
        <v>55</v>
      </c>
      <c r="E85">
        <v>2280000</v>
      </c>
      <c r="F85">
        <v>32125.46</v>
      </c>
      <c r="G85">
        <f>E85/F85/12</f>
        <v>5.9143121997319268</v>
      </c>
    </row>
    <row r="86" spans="1:7">
      <c r="B86" t="e">
        <f>#REF!/#REF!/12</f>
        <v>#REF!</v>
      </c>
      <c r="G86" t="s">
        <v>89</v>
      </c>
    </row>
    <row r="87" spans="1:7">
      <c r="A87" t="s">
        <v>58</v>
      </c>
    </row>
    <row r="89" spans="1:7">
      <c r="A89" t="s">
        <v>57</v>
      </c>
    </row>
    <row r="90" spans="1:7">
      <c r="B90">
        <v>29.61</v>
      </c>
    </row>
  </sheetData>
  <mergeCells count="23">
    <mergeCell ref="A79:E79"/>
    <mergeCell ref="A80:E80"/>
    <mergeCell ref="A81:E81"/>
    <mergeCell ref="A82:E82"/>
    <mergeCell ref="A84:E84"/>
    <mergeCell ref="A69:A72"/>
    <mergeCell ref="A74:E74"/>
    <mergeCell ref="A75:E75"/>
    <mergeCell ref="A76:E76"/>
    <mergeCell ref="A77:E77"/>
    <mergeCell ref="A78:E78"/>
    <mergeCell ref="C57:E57"/>
    <mergeCell ref="C58:E58"/>
    <mergeCell ref="A59:E59"/>
    <mergeCell ref="A61:A64"/>
    <mergeCell ref="B66:E66"/>
    <mergeCell ref="A67:E67"/>
    <mergeCell ref="A3:A4"/>
    <mergeCell ref="B3:B4"/>
    <mergeCell ref="C3:C4"/>
    <mergeCell ref="E3:G3"/>
    <mergeCell ref="I3:I4"/>
    <mergeCell ref="J3:J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opLeftCell="A31" workbookViewId="0">
      <selection activeCell="G48" sqref="G48"/>
    </sheetView>
  </sheetViews>
  <sheetFormatPr defaultRowHeight="15"/>
  <cols>
    <col min="1" max="1" width="68.140625" customWidth="1"/>
    <col min="2" max="2" width="10.85546875" customWidth="1"/>
    <col min="4" max="4" width="13.140625" customWidth="1"/>
    <col min="5" max="6" width="12" customWidth="1"/>
    <col min="7" max="7" width="11.42578125" customWidth="1"/>
    <col min="12" max="12" width="11" bestFit="1" customWidth="1"/>
  </cols>
  <sheetData>
    <row r="1" spans="1:13">
      <c r="B1" s="78" t="s">
        <v>107</v>
      </c>
      <c r="C1" s="78"/>
      <c r="D1" s="78"/>
    </row>
    <row r="2" spans="1:13">
      <c r="A2" s="79" t="s">
        <v>108</v>
      </c>
      <c r="B2" s="79"/>
      <c r="C2" s="79"/>
      <c r="D2" s="79"/>
    </row>
    <row r="3" spans="1:13">
      <c r="B3" s="77" t="s">
        <v>109</v>
      </c>
      <c r="C3" s="77"/>
      <c r="D3" s="77"/>
    </row>
    <row r="4" spans="1:13" ht="68.25" customHeight="1">
      <c r="A4" s="80" t="s">
        <v>103</v>
      </c>
      <c r="B4" s="80"/>
      <c r="C4" s="80"/>
      <c r="D4" s="80"/>
    </row>
    <row r="5" spans="1:13" ht="45">
      <c r="A5" s="10" t="s">
        <v>64</v>
      </c>
      <c r="B5" s="10" t="s">
        <v>65</v>
      </c>
      <c r="C5" s="10" t="s">
        <v>66</v>
      </c>
      <c r="D5" s="10" t="s">
        <v>67</v>
      </c>
    </row>
    <row r="6" spans="1:13">
      <c r="A6" s="10">
        <v>1</v>
      </c>
      <c r="B6" s="10">
        <v>2</v>
      </c>
      <c r="C6" s="10">
        <v>3</v>
      </c>
      <c r="D6" s="10">
        <v>4</v>
      </c>
    </row>
    <row r="7" spans="1:13">
      <c r="A7" s="7" t="s">
        <v>69</v>
      </c>
      <c r="B7" s="8"/>
      <c r="C7" s="8"/>
      <c r="D7" s="9"/>
    </row>
    <row r="8" spans="1:13" ht="30">
      <c r="A8" s="11" t="s">
        <v>68</v>
      </c>
      <c r="B8" s="2">
        <v>100</v>
      </c>
      <c r="C8" s="2">
        <v>48176.3</v>
      </c>
      <c r="D8" s="2">
        <v>48176.3</v>
      </c>
    </row>
    <row r="9" spans="1:13">
      <c r="A9" s="81" t="s">
        <v>70</v>
      </c>
      <c r="B9" s="81"/>
      <c r="C9" s="81"/>
      <c r="D9" s="81"/>
    </row>
    <row r="10" spans="1:13" ht="19.5" customHeight="1">
      <c r="A10" s="11" t="s">
        <v>71</v>
      </c>
      <c r="B10" s="12">
        <v>300</v>
      </c>
      <c r="C10" s="14">
        <f>C11+C12+C13+C14</f>
        <v>920.6934</v>
      </c>
      <c r="D10" s="14">
        <f>D11+D12+D13+D14</f>
        <v>1391.9417920000001</v>
      </c>
      <c r="E10" s="4">
        <f>D10/D8*1000/12</f>
        <v>2.4077222479379556</v>
      </c>
      <c r="F10" s="4">
        <f>C10/C8*1000/9</f>
        <v>2.1234355205083553</v>
      </c>
    </row>
    <row r="11" spans="1:13">
      <c r="A11" s="13" t="s">
        <v>72</v>
      </c>
      <c r="B11" s="12">
        <v>310</v>
      </c>
      <c r="C11" s="14">
        <f>5.3+6.9+4.9+574.6</f>
        <v>591.70000000000005</v>
      </c>
      <c r="D11" s="14">
        <f>C11/3*4*1.16</f>
        <v>915.16266666666672</v>
      </c>
      <c r="E11" s="4"/>
      <c r="F11" s="4"/>
    </row>
    <row r="12" spans="1:13">
      <c r="A12" s="13" t="s">
        <v>73</v>
      </c>
      <c r="B12" s="12">
        <v>320</v>
      </c>
      <c r="C12" s="14">
        <f>C11*0.302</f>
        <v>178.6934</v>
      </c>
      <c r="D12" s="14">
        <f>D11*0.302</f>
        <v>276.37912533333332</v>
      </c>
      <c r="E12" s="4"/>
      <c r="F12" s="4"/>
    </row>
    <row r="13" spans="1:13">
      <c r="A13" s="13" t="s">
        <v>74</v>
      </c>
      <c r="B13" s="12">
        <v>330</v>
      </c>
      <c r="C13" s="14">
        <v>60</v>
      </c>
      <c r="D13" s="2">
        <f t="shared" ref="D13:D14" si="0">C13/3*4</f>
        <v>80</v>
      </c>
      <c r="E13" s="4"/>
      <c r="F13" s="4"/>
    </row>
    <row r="14" spans="1:13">
      <c r="A14" s="13" t="s">
        <v>91</v>
      </c>
      <c r="B14" s="12">
        <v>340</v>
      </c>
      <c r="C14" s="14">
        <v>90.3</v>
      </c>
      <c r="D14" s="2">
        <f t="shared" si="0"/>
        <v>120.39999999999999</v>
      </c>
      <c r="E14" s="4"/>
      <c r="F14" s="4"/>
    </row>
    <row r="15" spans="1:13" ht="33.75" customHeight="1">
      <c r="A15" s="13" t="s">
        <v>77</v>
      </c>
      <c r="B15" s="2">
        <v>400</v>
      </c>
      <c r="C15" s="14">
        <f>C16+C17+C18+C19</f>
        <v>1287.2144000000001</v>
      </c>
      <c r="D15" s="14">
        <f>D16+D17+D18+D19</f>
        <v>1973.8249386666664</v>
      </c>
      <c r="E15" s="4">
        <f>D15/D8*1000/12</f>
        <v>3.4142391913774102</v>
      </c>
      <c r="F15" s="4">
        <f>C15/C8*1000/9</f>
        <v>2.968758958704222</v>
      </c>
      <c r="H15" s="4">
        <f>E10+E15+E21+E22+E23+E32+E34+E25</f>
        <v>21.152686417306036</v>
      </c>
      <c r="I15">
        <v>30875.96</v>
      </c>
      <c r="J15">
        <f>H15*I15*12/1000</f>
        <v>7837.3139965594128</v>
      </c>
      <c r="K15" s="4">
        <v>19.97</v>
      </c>
      <c r="L15">
        <v>30875.96</v>
      </c>
      <c r="M15">
        <f>K15*L15*9/1000</f>
        <v>5549.3362907999999</v>
      </c>
    </row>
    <row r="16" spans="1:13">
      <c r="A16" s="13" t="s">
        <v>72</v>
      </c>
      <c r="B16" s="12">
        <v>410</v>
      </c>
      <c r="C16" s="14">
        <v>927.2</v>
      </c>
      <c r="D16" s="14">
        <f>C16/3*4*1.16</f>
        <v>1434.0693333333331</v>
      </c>
      <c r="E16" s="4"/>
      <c r="F16" s="4"/>
      <c r="H16" s="4">
        <f>E10+E15+E26+E32+E34+E25+H21</f>
        <v>18.389137795825295</v>
      </c>
      <c r="I16">
        <v>9956.0300000000007</v>
      </c>
      <c r="J16">
        <f t="shared" ref="J16:J17" si="1">H16*I16*12/1000</f>
        <v>2196.9936908324462</v>
      </c>
      <c r="K16" s="4">
        <v>16.88</v>
      </c>
      <c r="L16">
        <v>9956.0300000000007</v>
      </c>
      <c r="M16">
        <f>K16*L16*9/1000</f>
        <v>1512.5200776000001</v>
      </c>
    </row>
    <row r="17" spans="1:13">
      <c r="A17" s="13" t="s">
        <v>73</v>
      </c>
      <c r="B17" s="12">
        <v>420</v>
      </c>
      <c r="C17" s="14">
        <f>C16*0.302</f>
        <v>280.01440000000002</v>
      </c>
      <c r="D17" s="14">
        <f>D16*0.302</f>
        <v>433.08893866666659</v>
      </c>
      <c r="E17" s="4"/>
      <c r="F17" s="4"/>
      <c r="H17" s="4">
        <f>E10+E15+E24+E25+E26+E32+E34+G21+G22+G32+H21</f>
        <v>26.993292661989443</v>
      </c>
      <c r="I17">
        <v>7344.32</v>
      </c>
      <c r="J17">
        <f t="shared" si="1"/>
        <v>2378.968549959628</v>
      </c>
      <c r="K17" s="4">
        <v>34.200000000000003</v>
      </c>
      <c r="L17">
        <v>7344.32</v>
      </c>
      <c r="M17">
        <f>K17*L17*9/1000</f>
        <v>2260.5816960000002</v>
      </c>
    </row>
    <row r="18" spans="1:13">
      <c r="A18" s="13" t="s">
        <v>74</v>
      </c>
      <c r="B18" s="12">
        <v>430</v>
      </c>
      <c r="C18" s="14">
        <v>80</v>
      </c>
      <c r="D18" s="14">
        <f t="shared" ref="D18:D19" si="2">C18/3*4</f>
        <v>106.66666666666667</v>
      </c>
      <c r="E18" s="4"/>
      <c r="F18" s="4"/>
      <c r="J18">
        <f>SUM(J15:J17)</f>
        <v>12413.276237351485</v>
      </c>
      <c r="M18">
        <f>SUM(M15:M17)</f>
        <v>9322.4380644000012</v>
      </c>
    </row>
    <row r="19" spans="1:13">
      <c r="A19" s="13" t="s">
        <v>75</v>
      </c>
      <c r="B19" s="12">
        <v>440</v>
      </c>
      <c r="C19" s="2"/>
      <c r="D19" s="2">
        <f t="shared" si="2"/>
        <v>0</v>
      </c>
      <c r="E19" s="4"/>
      <c r="F19" s="4"/>
    </row>
    <row r="20" spans="1:13" ht="34.5" customHeight="1">
      <c r="A20" s="13" t="s">
        <v>76</v>
      </c>
      <c r="B20" s="12">
        <v>500</v>
      </c>
      <c r="C20" s="14">
        <f>C21+C22+C23+C24+C25</f>
        <v>1593.3141999999998</v>
      </c>
      <c r="D20" s="14">
        <f>D21+D22+D23+D24+D25</f>
        <v>2399.984629333333</v>
      </c>
      <c r="E20" s="4"/>
      <c r="F20" s="4"/>
      <c r="G20" t="s">
        <v>117</v>
      </c>
      <c r="H20" t="s">
        <v>118</v>
      </c>
      <c r="I20" t="s">
        <v>119</v>
      </c>
    </row>
    <row r="21" spans="1:13">
      <c r="A21" s="13" t="s">
        <v>114</v>
      </c>
      <c r="B21" s="12">
        <v>510</v>
      </c>
      <c r="C21" s="2">
        <f>154.2+159.5+678.4</f>
        <v>992.09999999999991</v>
      </c>
      <c r="D21" s="14">
        <f>C21/3*4*1.16</f>
        <v>1534.4479999999999</v>
      </c>
      <c r="E21" s="4">
        <f>(D21-214.6-8.4-39.8)/30875.96*1000/12</f>
        <v>3.432141597108775</v>
      </c>
      <c r="F21" s="4">
        <f>(C21-8.4-39.8)/30875.96*1000/9</f>
        <v>3.3967454867080331</v>
      </c>
      <c r="G21" s="4">
        <f>214.6/7344.32*1000/12</f>
        <v>2.4349883084251958</v>
      </c>
      <c r="H21" s="4">
        <f>8.4/(I16+I17)*1000/12</f>
        <v>4.0461609158196223E-2</v>
      </c>
      <c r="I21" s="4">
        <f>39856.43/12/1236.4</f>
        <v>2.6863225223767926</v>
      </c>
    </row>
    <row r="22" spans="1:13" ht="19.5" customHeight="1">
      <c r="A22" s="13" t="s">
        <v>115</v>
      </c>
      <c r="B22" s="12">
        <v>520</v>
      </c>
      <c r="C22" s="14">
        <f>C21*0.302</f>
        <v>299.61419999999998</v>
      </c>
      <c r="D22" s="14">
        <f>D21*0.302</f>
        <v>463.40329599999995</v>
      </c>
      <c r="E22" s="4">
        <f>(D22-88.1)/30875.96*1000/12</f>
        <v>1.0129328664328707</v>
      </c>
      <c r="F22" s="4">
        <f>(C22-88.1)/30875.96*1000/9</f>
        <v>0.76116103848358974</v>
      </c>
      <c r="G22" s="4">
        <f>88.1/I17*1000/12</f>
        <v>0.99963872307669976</v>
      </c>
    </row>
    <row r="23" spans="1:13">
      <c r="A23" s="13" t="s">
        <v>74</v>
      </c>
      <c r="B23" s="12">
        <v>530</v>
      </c>
      <c r="C23" s="2">
        <v>10</v>
      </c>
      <c r="D23" s="14">
        <f>C23/3*4</f>
        <v>13.333333333333334</v>
      </c>
      <c r="E23" s="4">
        <f>D23/30875.96*1000/12</f>
        <v>3.5986285482657421E-2</v>
      </c>
      <c r="F23" s="4">
        <f>C23/30875.96*1000/9</f>
        <v>3.5986285482657414E-2</v>
      </c>
    </row>
    <row r="24" spans="1:13">
      <c r="A24" s="13" t="s">
        <v>78</v>
      </c>
      <c r="B24" s="12">
        <v>550</v>
      </c>
      <c r="C24" s="2">
        <f>1.7+11.4+10.7+103.4+74.4</f>
        <v>201.60000000000002</v>
      </c>
      <c r="D24" s="2">
        <f>C24/3*4</f>
        <v>268.8</v>
      </c>
      <c r="E24" s="4">
        <f>D24/7344.32*1000/12</f>
        <v>3.0499760359025756</v>
      </c>
      <c r="F24" s="4">
        <f>C24/7344.32*1000/9</f>
        <v>3.0499760359025756</v>
      </c>
    </row>
    <row r="25" spans="1:13">
      <c r="A25" s="13" t="s">
        <v>116</v>
      </c>
      <c r="B25" s="12">
        <v>560</v>
      </c>
      <c r="C25" s="2">
        <v>90</v>
      </c>
      <c r="D25" s="2">
        <f>C25/3*4</f>
        <v>120</v>
      </c>
      <c r="E25" s="4">
        <f>D25/7344.32*1000/12</f>
        <v>1.361596444599364</v>
      </c>
      <c r="F25" s="4">
        <f>C25/7344.32*1000/9</f>
        <v>1.3615964445993638</v>
      </c>
    </row>
    <row r="26" spans="1:13">
      <c r="A26" s="13" t="s">
        <v>79</v>
      </c>
      <c r="B26" s="2">
        <v>700</v>
      </c>
      <c r="C26" s="5">
        <f>C27+C28+C29+C30+C31</f>
        <v>727.14679999999998</v>
      </c>
      <c r="D26" s="14">
        <f>D27+D28+D29+D30+D31</f>
        <v>969.52906666666672</v>
      </c>
      <c r="E26" s="4">
        <f>D26/D8*1000/12</f>
        <v>1.6770505183853655</v>
      </c>
      <c r="F26" s="4">
        <f>C26/C8*1000/9</f>
        <v>1.6770505183853655</v>
      </c>
    </row>
    <row r="27" spans="1:13">
      <c r="A27" s="13" t="s">
        <v>90</v>
      </c>
      <c r="B27" s="2">
        <v>710</v>
      </c>
      <c r="C27" s="5">
        <f>30.4*1.302</f>
        <v>39.580799999999996</v>
      </c>
      <c r="D27" s="14">
        <f t="shared" ref="D27:D34" si="3">C27/3*4</f>
        <v>52.774399999999993</v>
      </c>
      <c r="E27" s="4"/>
      <c r="F27" s="4"/>
    </row>
    <row r="28" spans="1:13">
      <c r="A28" s="13" t="s">
        <v>80</v>
      </c>
      <c r="B28" s="2">
        <v>720</v>
      </c>
      <c r="C28" s="5">
        <f>193.7*1.18</f>
        <v>228.56599999999997</v>
      </c>
      <c r="D28" s="14">
        <f t="shared" si="3"/>
        <v>304.75466666666665</v>
      </c>
      <c r="E28" s="4"/>
      <c r="F28" s="4"/>
    </row>
    <row r="29" spans="1:13">
      <c r="A29" s="13" t="s">
        <v>81</v>
      </c>
      <c r="B29" s="2">
        <v>730</v>
      </c>
      <c r="C29" s="2">
        <v>162</v>
      </c>
      <c r="D29" s="2">
        <f t="shared" si="3"/>
        <v>216</v>
      </c>
      <c r="E29" s="4"/>
      <c r="F29" s="4"/>
    </row>
    <row r="30" spans="1:13">
      <c r="A30" s="13" t="s">
        <v>82</v>
      </c>
      <c r="B30" s="2">
        <v>740</v>
      </c>
      <c r="C30" s="2">
        <v>225</v>
      </c>
      <c r="D30" s="2">
        <f t="shared" si="3"/>
        <v>300</v>
      </c>
      <c r="E30" s="4"/>
      <c r="F30" s="4"/>
    </row>
    <row r="31" spans="1:13">
      <c r="A31" s="13" t="s">
        <v>83</v>
      </c>
      <c r="B31" s="2">
        <v>750</v>
      </c>
      <c r="C31" s="2">
        <f>38.4/2*3+14.4</f>
        <v>72</v>
      </c>
      <c r="D31" s="2">
        <f t="shared" si="3"/>
        <v>96</v>
      </c>
      <c r="E31" s="4"/>
      <c r="F31" s="4"/>
    </row>
    <row r="32" spans="1:13" ht="13.5" customHeight="1">
      <c r="A32" s="13" t="s">
        <v>152</v>
      </c>
      <c r="B32" s="12">
        <v>800</v>
      </c>
      <c r="C32" s="2">
        <v>4295.5</v>
      </c>
      <c r="D32" s="14">
        <f>C32/3*4-252</f>
        <v>5475.333333333333</v>
      </c>
      <c r="E32" s="4">
        <f>(D32-171.2)/D8*1000/12</f>
        <v>9.1748662954836941</v>
      </c>
      <c r="F32" s="4">
        <f>(C32-171.2)/C8*1000/12</f>
        <v>7.1340403199636881</v>
      </c>
      <c r="G32" s="28">
        <f>186.8/I17*1000/12</f>
        <v>2.1195517987596766</v>
      </c>
    </row>
    <row r="33" spans="1:10">
      <c r="A33" s="13" t="s">
        <v>85</v>
      </c>
      <c r="B33" s="12">
        <v>900</v>
      </c>
      <c r="C33" s="14">
        <f>C26+C20+C15+C10+C32</f>
        <v>8823.8688000000002</v>
      </c>
      <c r="D33" s="14">
        <f>D26+D20+D15+D10+D32</f>
        <v>12210.61376</v>
      </c>
      <c r="E33" s="4"/>
      <c r="F33" s="4"/>
    </row>
    <row r="34" spans="1:10">
      <c r="A34" s="13" t="s">
        <v>86</v>
      </c>
      <c r="B34" s="12">
        <v>1100</v>
      </c>
      <c r="C34" s="2">
        <f>20.8+115</f>
        <v>135.80000000000001</v>
      </c>
      <c r="D34" s="5">
        <f t="shared" si="3"/>
        <v>181.06666666666669</v>
      </c>
      <c r="E34" s="4">
        <f>D34/D8*1000/12</f>
        <v>0.31320148888330757</v>
      </c>
      <c r="F34" s="4">
        <f>C34/C8*1000/9</f>
        <v>0.31320148888330757</v>
      </c>
    </row>
    <row r="35" spans="1:10">
      <c r="A35" s="13" t="s">
        <v>87</v>
      </c>
      <c r="B35" s="12">
        <v>1200</v>
      </c>
      <c r="C35" s="14">
        <f>SUM(C33:C34)</f>
        <v>8959.6687999999995</v>
      </c>
      <c r="D35" s="14">
        <f>SUM(D33:D34)</f>
        <v>12391.680426666668</v>
      </c>
      <c r="E35" s="4"/>
      <c r="F35" s="4"/>
      <c r="G35">
        <f>D35/12*1.05</f>
        <v>1084.2720373333334</v>
      </c>
      <c r="H35">
        <f>D35/12</f>
        <v>1032.6400355555556</v>
      </c>
    </row>
    <row r="36" spans="1:10" ht="21" customHeight="1">
      <c r="A36" s="13" t="s">
        <v>88</v>
      </c>
      <c r="B36" s="12">
        <v>1300</v>
      </c>
      <c r="C36" s="5">
        <f>C35/C8/9*1000</f>
        <v>20.66407664257229</v>
      </c>
      <c r="D36" s="5">
        <f>D35/D8/12*1000</f>
        <v>21.434606550431553</v>
      </c>
      <c r="E36" s="4"/>
      <c r="F36" s="4"/>
      <c r="G36">
        <f>D36/16.81</f>
        <v>1.2751104432142508</v>
      </c>
    </row>
    <row r="37" spans="1:10">
      <c r="A37" s="83" t="s">
        <v>95</v>
      </c>
      <c r="B37" s="83"/>
      <c r="C37" s="83"/>
      <c r="D37" s="83"/>
      <c r="E37" s="4"/>
      <c r="F37" s="4"/>
    </row>
    <row r="38" spans="1:10">
      <c r="A38" s="13" t="s">
        <v>104</v>
      </c>
      <c r="B38" s="16">
        <v>15.97</v>
      </c>
      <c r="C38" s="22">
        <v>19.18</v>
      </c>
      <c r="D38" s="21">
        <v>19.91</v>
      </c>
      <c r="E38" s="4">
        <f t="shared" ref="E38:F40" si="4">D38/C38</f>
        <v>1.0380604796663191</v>
      </c>
      <c r="F38" s="4">
        <f t="shared" si="4"/>
        <v>5.213764337851929E-2</v>
      </c>
      <c r="G38">
        <f>D38*30875.96</f>
        <v>614740.36360000004</v>
      </c>
    </row>
    <row r="39" spans="1:10" ht="18.75" customHeight="1">
      <c r="A39" s="13" t="s">
        <v>105</v>
      </c>
      <c r="B39" s="16">
        <v>15.24</v>
      </c>
      <c r="C39" s="16">
        <v>17.649999999999999</v>
      </c>
      <c r="D39" s="21">
        <v>18.600000000000001</v>
      </c>
      <c r="E39" s="4">
        <f t="shared" si="4"/>
        <v>1.0538243626062325</v>
      </c>
      <c r="F39" s="4">
        <f t="shared" si="4"/>
        <v>5.6657223796034002E-2</v>
      </c>
      <c r="G39">
        <f>D39*9956.03</f>
        <v>185182.15800000002</v>
      </c>
    </row>
    <row r="40" spans="1:10" ht="32.25" customHeight="1">
      <c r="A40" s="13" t="s">
        <v>150</v>
      </c>
      <c r="B40" s="16">
        <v>27.74</v>
      </c>
      <c r="C40" s="16">
        <v>31.61</v>
      </c>
      <c r="D40" s="21">
        <f>D48-0.31</f>
        <v>33.29</v>
      </c>
      <c r="E40" s="4">
        <f t="shared" si="4"/>
        <v>1.0531477380575767</v>
      </c>
      <c r="F40" s="4">
        <f t="shared" si="4"/>
        <v>3.163555836760519E-2</v>
      </c>
      <c r="G40">
        <f>D40*7344.32</f>
        <v>244492.41279999999</v>
      </c>
      <c r="I40">
        <v>23.84</v>
      </c>
      <c r="J40">
        <f>27.74/I40</f>
        <v>1.1635906040268456</v>
      </c>
    </row>
    <row r="41" spans="1:10" ht="32.25" customHeight="1">
      <c r="A41" s="13" t="s">
        <v>151</v>
      </c>
      <c r="B41" s="16">
        <v>23.84</v>
      </c>
      <c r="C41" s="16">
        <v>27.06</v>
      </c>
      <c r="D41" s="21">
        <f>D49-0.31</f>
        <v>28.610000000000003</v>
      </c>
      <c r="E41" s="4">
        <f>D41/C41</f>
        <v>1.0572801182557281</v>
      </c>
      <c r="F41" s="4"/>
    </row>
    <row r="42" spans="1:10" ht="21.75" customHeight="1">
      <c r="A42" s="82" t="s">
        <v>113</v>
      </c>
      <c r="B42" s="83"/>
      <c r="C42" s="83"/>
      <c r="D42" s="84"/>
      <c r="E42" s="4"/>
      <c r="F42" s="4"/>
      <c r="G42">
        <f>SUM(G38:G40)/1000</f>
        <v>1044.4149344000002</v>
      </c>
      <c r="H42">
        <f>G35-G42</f>
        <v>39.857102933333181</v>
      </c>
    </row>
    <row r="43" spans="1:10">
      <c r="A43" s="13" t="s">
        <v>111</v>
      </c>
      <c r="B43" s="2"/>
      <c r="C43" s="16"/>
      <c r="D43" s="24">
        <f>21.5*12*0.7</f>
        <v>180.6</v>
      </c>
    </row>
    <row r="44" spans="1:10" ht="30">
      <c r="A44" s="13" t="s">
        <v>112</v>
      </c>
      <c r="B44" s="2"/>
      <c r="C44" s="2"/>
      <c r="D44" s="26">
        <f>D43*1000/D8/12</f>
        <v>0.31239426855113406</v>
      </c>
      <c r="I44">
        <f>C38*30875.96*9/1000</f>
        <v>5329.8082151999997</v>
      </c>
    </row>
    <row r="45" spans="1:10" ht="25.5" customHeight="1">
      <c r="A45" s="83" t="s">
        <v>110</v>
      </c>
      <c r="B45" s="83"/>
      <c r="C45" s="83"/>
      <c r="D45" s="83"/>
      <c r="I45">
        <f>C39*9956.03*9/1000</f>
        <v>1581.5153655000001</v>
      </c>
    </row>
    <row r="46" spans="1:10">
      <c r="A46" s="13" t="s">
        <v>96</v>
      </c>
      <c r="B46" s="16">
        <v>15.97</v>
      </c>
      <c r="C46" s="22">
        <f>19.18+D44</f>
        <v>19.492394268551134</v>
      </c>
      <c r="D46" s="21">
        <f>D38+D44</f>
        <v>20.222394268551135</v>
      </c>
      <c r="E46" s="4">
        <f>D46/C46</f>
        <v>1.0374505045374429</v>
      </c>
      <c r="F46" s="4">
        <f>D46/C46</f>
        <v>1.0374505045374429</v>
      </c>
      <c r="I46" s="28">
        <f>C35-I44-I45</f>
        <v>2048.3452192999994</v>
      </c>
    </row>
    <row r="47" spans="1:10">
      <c r="A47" s="13" t="s">
        <v>97</v>
      </c>
      <c r="B47" s="16">
        <v>15.24</v>
      </c>
      <c r="C47" s="22">
        <f>17.65+D44</f>
        <v>17.962394268551133</v>
      </c>
      <c r="D47" s="21">
        <f>D39+D44</f>
        <v>18.912394268551136</v>
      </c>
      <c r="E47" s="4">
        <f>D47/C47</f>
        <v>1.0528882723425841</v>
      </c>
      <c r="F47" s="4">
        <f>E47/D47</f>
        <v>5.56718656237725E-2</v>
      </c>
      <c r="I47">
        <f>I46/7354.31*1000/9</f>
        <v>30.947011107167839</v>
      </c>
    </row>
    <row r="48" spans="1:10" ht="30">
      <c r="A48" s="13" t="s">
        <v>102</v>
      </c>
      <c r="B48" s="16">
        <v>27.74</v>
      </c>
      <c r="C48" s="22">
        <f>31.45+D44</f>
        <v>31.762394268551134</v>
      </c>
      <c r="D48" s="21">
        <v>33.6</v>
      </c>
      <c r="E48" s="4">
        <f>D48/C48</f>
        <v>1.0578547610709668</v>
      </c>
      <c r="F48" s="4">
        <f>E48/D48</f>
        <v>3.1483772650921629E-2</v>
      </c>
      <c r="I48" s="4">
        <f>I47+F10+F15+F25+F26+F32+F34</f>
        <v>46.525094358212137</v>
      </c>
    </row>
    <row r="49" spans="1:9" ht="30">
      <c r="A49" s="13" t="s">
        <v>153</v>
      </c>
      <c r="B49" s="16">
        <v>23.84</v>
      </c>
      <c r="C49" s="22">
        <f>28.06+D44</f>
        <v>28.372394268551133</v>
      </c>
      <c r="D49" s="21">
        <v>28.92</v>
      </c>
      <c r="E49" s="4">
        <f>D49/C49</f>
        <v>1.0193006528199791</v>
      </c>
      <c r="F49" s="4">
        <f>E49/D49</f>
        <v>3.524552741424547E-2</v>
      </c>
    </row>
    <row r="50" spans="1:9">
      <c r="A50" s="17"/>
      <c r="B50" s="18"/>
      <c r="C50" s="18"/>
      <c r="D50" s="25"/>
      <c r="I50">
        <f>C38*30875.96*9/1000</f>
        <v>5329.8082151999997</v>
      </c>
    </row>
    <row r="51" spans="1:9">
      <c r="A51" s="77" t="s">
        <v>106</v>
      </c>
      <c r="B51" s="77"/>
      <c r="C51" s="77"/>
      <c r="D51" s="77"/>
      <c r="I51">
        <f>C47*9956.03/1000*9</f>
        <v>1609.5072258857085</v>
      </c>
    </row>
    <row r="52" spans="1:9">
      <c r="I52">
        <f>C48*6344.32/1000*9</f>
        <v>1813.5971388526887</v>
      </c>
    </row>
    <row r="53" spans="1:9">
      <c r="I53">
        <f>C49*1000/1000*9</f>
        <v>255.35154841696021</v>
      </c>
    </row>
    <row r="54" spans="1:9">
      <c r="I54">
        <f>SUM(I50:I53)</f>
        <v>9008.2641283553567</v>
      </c>
    </row>
  </sheetData>
  <mergeCells count="9">
    <mergeCell ref="A42:D42"/>
    <mergeCell ref="A45:D45"/>
    <mergeCell ref="A51:D51"/>
    <mergeCell ref="B1:D1"/>
    <mergeCell ref="A2:D2"/>
    <mergeCell ref="B3:D3"/>
    <mergeCell ref="A4:D4"/>
    <mergeCell ref="A9:D9"/>
    <mergeCell ref="A37:D37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8"/>
  <sheetViews>
    <sheetView topLeftCell="A64" workbookViewId="0">
      <selection activeCell="A90" sqref="A90:XFD90"/>
    </sheetView>
  </sheetViews>
  <sheetFormatPr defaultRowHeight="15"/>
  <cols>
    <col min="1" max="1" width="23.5703125" customWidth="1"/>
    <col min="2" max="2" width="20.85546875" customWidth="1"/>
    <col min="4" max="4" width="13.5703125" customWidth="1"/>
    <col min="5" max="5" width="11" bestFit="1" customWidth="1"/>
    <col min="10" max="10" width="25.42578125" customWidth="1"/>
    <col min="11" max="11" width="12.42578125" customWidth="1"/>
  </cols>
  <sheetData>
    <row r="1" spans="1:14">
      <c r="B1" t="s">
        <v>25</v>
      </c>
    </row>
    <row r="2" spans="1:14">
      <c r="A2" t="s">
        <v>26</v>
      </c>
      <c r="I2" t="s">
        <v>94</v>
      </c>
    </row>
    <row r="3" spans="1:14">
      <c r="A3" s="60" t="s">
        <v>27</v>
      </c>
      <c r="B3" s="60" t="s">
        <v>28</v>
      </c>
      <c r="C3" s="60" t="s">
        <v>29</v>
      </c>
      <c r="D3" s="33"/>
      <c r="E3" s="63" t="s">
        <v>30</v>
      </c>
      <c r="F3" s="63"/>
      <c r="G3" s="63"/>
      <c r="H3" s="1" t="s">
        <v>32</v>
      </c>
      <c r="I3" s="64" t="s">
        <v>59</v>
      </c>
      <c r="J3" s="64" t="s">
        <v>60</v>
      </c>
      <c r="K3" s="15"/>
    </row>
    <row r="4" spans="1:14">
      <c r="A4" s="60"/>
      <c r="B4" s="60"/>
      <c r="C4" s="60"/>
      <c r="D4" s="33"/>
      <c r="E4" s="1" t="s">
        <v>31</v>
      </c>
      <c r="F4" s="1" t="s">
        <v>37</v>
      </c>
      <c r="G4" s="1" t="s">
        <v>38</v>
      </c>
      <c r="H4" s="1" t="s">
        <v>39</v>
      </c>
      <c r="I4" s="65"/>
      <c r="J4" s="65"/>
      <c r="K4" s="15"/>
      <c r="L4" s="6">
        <v>0.1</v>
      </c>
    </row>
    <row r="5" spans="1:14">
      <c r="A5" s="2" t="s">
        <v>0</v>
      </c>
      <c r="B5" s="2">
        <v>1</v>
      </c>
      <c r="C5" s="2">
        <v>16</v>
      </c>
      <c r="D5" s="2"/>
      <c r="E5" s="2">
        <v>739</v>
      </c>
      <c r="F5" s="2"/>
      <c r="G5" s="2"/>
      <c r="H5" s="2">
        <v>739</v>
      </c>
      <c r="I5" s="5">
        <v>32.58</v>
      </c>
      <c r="J5" s="5">
        <f>I5*E5</f>
        <v>24076.62</v>
      </c>
      <c r="K5" s="5">
        <v>27.74</v>
      </c>
      <c r="L5" s="2">
        <v>30.52</v>
      </c>
      <c r="M5" s="2">
        <f>L5*E5</f>
        <v>22554.28</v>
      </c>
      <c r="N5">
        <f>I5/K5</f>
        <v>1.174477289113194</v>
      </c>
    </row>
    <row r="6" spans="1:14">
      <c r="A6" s="2" t="s">
        <v>0</v>
      </c>
      <c r="B6" s="2">
        <v>2</v>
      </c>
      <c r="C6" s="2">
        <v>18</v>
      </c>
      <c r="D6" s="2"/>
      <c r="E6" s="2">
        <v>879.2</v>
      </c>
      <c r="F6" s="2"/>
      <c r="G6" s="2"/>
      <c r="H6" s="2">
        <v>879.2</v>
      </c>
      <c r="I6" s="2">
        <v>32.58</v>
      </c>
      <c r="J6" s="5">
        <f t="shared" ref="J6:J38" si="0">I6*E6</f>
        <v>28644.335999999999</v>
      </c>
      <c r="K6" s="5"/>
      <c r="L6" s="2">
        <v>30.52</v>
      </c>
      <c r="M6" s="2">
        <f t="shared" ref="M6:M38" si="1">L6*E6</f>
        <v>26833.184000000001</v>
      </c>
    </row>
    <row r="7" spans="1:14">
      <c r="A7" s="2" t="s">
        <v>1</v>
      </c>
      <c r="B7" s="2" t="s">
        <v>2</v>
      </c>
      <c r="C7" s="2">
        <v>25</v>
      </c>
      <c r="D7" s="2"/>
      <c r="E7" s="2">
        <v>1599</v>
      </c>
      <c r="F7" s="2"/>
      <c r="G7" s="2">
        <v>1599</v>
      </c>
      <c r="H7" s="2"/>
      <c r="I7" s="2">
        <v>19.5</v>
      </c>
      <c r="J7" s="5">
        <f t="shared" si="0"/>
        <v>31180.5</v>
      </c>
      <c r="K7" s="5">
        <v>15.24</v>
      </c>
      <c r="L7" s="2">
        <v>16.77</v>
      </c>
      <c r="M7" s="2">
        <f t="shared" si="1"/>
        <v>26815.23</v>
      </c>
      <c r="N7">
        <f>I7/K7</f>
        <v>1.2795275590551181</v>
      </c>
    </row>
    <row r="8" spans="1:14">
      <c r="A8" s="2" t="s">
        <v>1</v>
      </c>
      <c r="B8" s="2" t="s">
        <v>3</v>
      </c>
      <c r="C8" s="2">
        <v>24</v>
      </c>
      <c r="D8" s="2"/>
      <c r="E8" s="2">
        <v>1256</v>
      </c>
      <c r="F8" s="2"/>
      <c r="G8" s="2">
        <v>1256</v>
      </c>
      <c r="H8" s="2"/>
      <c r="I8" s="2">
        <v>19.5</v>
      </c>
      <c r="J8" s="5">
        <f t="shared" si="0"/>
        <v>24492</v>
      </c>
      <c r="K8" s="5"/>
      <c r="L8" s="2">
        <v>16.77</v>
      </c>
      <c r="M8" s="2">
        <f t="shared" si="1"/>
        <v>21063.119999999999</v>
      </c>
    </row>
    <row r="9" spans="1:14">
      <c r="A9" s="2" t="s">
        <v>1</v>
      </c>
      <c r="B9" s="2" t="s">
        <v>4</v>
      </c>
      <c r="C9" s="2">
        <v>16</v>
      </c>
      <c r="D9" s="2"/>
      <c r="E9" s="2">
        <v>571.20000000000005</v>
      </c>
      <c r="F9" s="2"/>
      <c r="G9" s="2">
        <v>571.20000000000005</v>
      </c>
      <c r="H9" s="2"/>
      <c r="I9" s="2">
        <v>19.5</v>
      </c>
      <c r="J9" s="5">
        <f t="shared" si="0"/>
        <v>11138.400000000001</v>
      </c>
      <c r="K9" s="5"/>
      <c r="L9" s="2">
        <v>16.77</v>
      </c>
      <c r="M9" s="2">
        <f t="shared" si="1"/>
        <v>9579.0240000000013</v>
      </c>
    </row>
    <row r="10" spans="1:14">
      <c r="A10" s="2" t="s">
        <v>5</v>
      </c>
      <c r="B10" s="2">
        <v>1</v>
      </c>
      <c r="C10" s="2">
        <v>24</v>
      </c>
      <c r="D10" s="2"/>
      <c r="E10" s="2">
        <v>1064.0999999999999</v>
      </c>
      <c r="F10" s="2"/>
      <c r="G10" s="2">
        <v>1064.0999999999999</v>
      </c>
      <c r="H10" s="2"/>
      <c r="I10" s="2">
        <v>19.5</v>
      </c>
      <c r="J10" s="5">
        <f t="shared" si="0"/>
        <v>20749.949999999997</v>
      </c>
      <c r="K10" s="5"/>
      <c r="L10" s="2">
        <v>16.77</v>
      </c>
      <c r="M10" s="2">
        <f t="shared" si="1"/>
        <v>17844.956999999999</v>
      </c>
    </row>
    <row r="11" spans="1:14">
      <c r="A11" s="2" t="s">
        <v>5</v>
      </c>
      <c r="B11" s="2" t="s">
        <v>6</v>
      </c>
      <c r="C11" s="2">
        <v>16</v>
      </c>
      <c r="D11" s="2"/>
      <c r="E11" s="2">
        <v>710.6</v>
      </c>
      <c r="F11" s="2"/>
      <c r="G11" s="2">
        <v>710.6</v>
      </c>
      <c r="H11" s="2"/>
      <c r="I11" s="2">
        <v>19.5</v>
      </c>
      <c r="J11" s="5">
        <f t="shared" si="0"/>
        <v>13856.7</v>
      </c>
      <c r="K11" s="5"/>
      <c r="L11" s="2">
        <v>16.77</v>
      </c>
      <c r="M11" s="2">
        <f t="shared" si="1"/>
        <v>11916.762000000001</v>
      </c>
    </row>
    <row r="12" spans="1:14">
      <c r="A12" s="2" t="s">
        <v>5</v>
      </c>
      <c r="B12" s="2" t="s">
        <v>7</v>
      </c>
      <c r="C12" s="2">
        <v>12</v>
      </c>
      <c r="D12" s="2"/>
      <c r="E12" s="2">
        <v>690.83</v>
      </c>
      <c r="F12" s="2"/>
      <c r="G12" s="2">
        <v>690.83</v>
      </c>
      <c r="H12" s="2"/>
      <c r="I12" s="2">
        <v>19.5</v>
      </c>
      <c r="J12" s="5">
        <f t="shared" si="0"/>
        <v>13471.185000000001</v>
      </c>
      <c r="K12" s="5"/>
      <c r="L12" s="2">
        <v>16.77</v>
      </c>
      <c r="M12" s="2">
        <f t="shared" si="1"/>
        <v>11585.2191</v>
      </c>
    </row>
    <row r="13" spans="1:14">
      <c r="A13" s="2" t="s">
        <v>8</v>
      </c>
      <c r="B13" s="2" t="s">
        <v>9</v>
      </c>
      <c r="C13" s="2">
        <v>19</v>
      </c>
      <c r="D13" s="2"/>
      <c r="E13" s="2">
        <v>935.9</v>
      </c>
      <c r="F13" s="2"/>
      <c r="G13" s="2">
        <v>935.9</v>
      </c>
      <c r="H13" s="2"/>
      <c r="I13" s="2">
        <v>19.5</v>
      </c>
      <c r="J13" s="5">
        <f t="shared" si="0"/>
        <v>18250.05</v>
      </c>
      <c r="K13" s="5"/>
      <c r="L13" s="2">
        <v>16.77</v>
      </c>
      <c r="M13" s="2">
        <f t="shared" si="1"/>
        <v>15695.043</v>
      </c>
    </row>
    <row r="14" spans="1:14">
      <c r="A14" s="2" t="s">
        <v>8</v>
      </c>
      <c r="B14" s="2" t="s">
        <v>10</v>
      </c>
      <c r="C14" s="2">
        <v>19</v>
      </c>
      <c r="D14" s="2"/>
      <c r="E14" s="2">
        <v>846.9</v>
      </c>
      <c r="F14" s="2"/>
      <c r="G14" s="2">
        <v>846.9</v>
      </c>
      <c r="H14" s="2"/>
      <c r="I14" s="2">
        <v>19.5</v>
      </c>
      <c r="J14" s="5">
        <f t="shared" si="0"/>
        <v>16514.55</v>
      </c>
      <c r="K14" s="5"/>
      <c r="L14" s="2">
        <v>16.77</v>
      </c>
      <c r="M14" s="2">
        <f t="shared" si="1"/>
        <v>14202.512999999999</v>
      </c>
    </row>
    <row r="15" spans="1:14">
      <c r="A15" s="2" t="s">
        <v>8</v>
      </c>
      <c r="B15" s="2" t="s">
        <v>11</v>
      </c>
      <c r="C15" s="2">
        <v>18</v>
      </c>
      <c r="D15" s="2"/>
      <c r="E15" s="2">
        <v>899.7</v>
      </c>
      <c r="F15" s="2"/>
      <c r="G15" s="2">
        <v>899.7</v>
      </c>
      <c r="H15" s="2"/>
      <c r="I15" s="2">
        <v>19.5</v>
      </c>
      <c r="J15" s="5">
        <f t="shared" si="0"/>
        <v>17544.150000000001</v>
      </c>
      <c r="K15" s="5"/>
      <c r="L15" s="2">
        <v>16.77</v>
      </c>
      <c r="M15" s="2">
        <f t="shared" si="1"/>
        <v>15087.969000000001</v>
      </c>
    </row>
    <row r="16" spans="1:14">
      <c r="A16" s="2" t="s">
        <v>8</v>
      </c>
      <c r="B16" s="2" t="s">
        <v>12</v>
      </c>
      <c r="C16" s="2">
        <v>17</v>
      </c>
      <c r="D16" s="2"/>
      <c r="E16" s="2">
        <v>911.2</v>
      </c>
      <c r="F16" s="2"/>
      <c r="G16" s="2">
        <v>911.2</v>
      </c>
      <c r="H16" s="2"/>
      <c r="I16" s="2">
        <v>19.5</v>
      </c>
      <c r="J16" s="5">
        <f t="shared" si="0"/>
        <v>17768.400000000001</v>
      </c>
      <c r="K16" s="5"/>
      <c r="L16" s="2">
        <v>16.77</v>
      </c>
      <c r="M16" s="2">
        <f t="shared" si="1"/>
        <v>15280.824000000001</v>
      </c>
    </row>
    <row r="17" spans="1:14">
      <c r="A17" s="2" t="s">
        <v>13</v>
      </c>
      <c r="B17" s="2">
        <v>15</v>
      </c>
      <c r="C17" s="2">
        <v>60</v>
      </c>
      <c r="D17" s="2"/>
      <c r="E17" s="2">
        <v>2600</v>
      </c>
      <c r="F17" s="2">
        <v>2600</v>
      </c>
      <c r="G17" s="2"/>
      <c r="H17" s="2"/>
      <c r="I17" s="2">
        <v>21.8</v>
      </c>
      <c r="J17" s="5">
        <f t="shared" si="0"/>
        <v>56680</v>
      </c>
      <c r="K17" s="5"/>
      <c r="L17" s="2">
        <v>17.57</v>
      </c>
      <c r="M17" s="2">
        <f t="shared" si="1"/>
        <v>45682</v>
      </c>
    </row>
    <row r="18" spans="1:14">
      <c r="A18" s="2" t="s">
        <v>14</v>
      </c>
      <c r="B18" s="2" t="s">
        <v>15</v>
      </c>
      <c r="C18" s="2">
        <v>4</v>
      </c>
      <c r="D18" s="2"/>
      <c r="E18" s="2">
        <v>261.8</v>
      </c>
      <c r="F18" s="2"/>
      <c r="G18" s="2">
        <v>261.8</v>
      </c>
      <c r="H18" s="2"/>
      <c r="I18" s="2">
        <v>19.5</v>
      </c>
      <c r="J18" s="5">
        <f t="shared" si="0"/>
        <v>5105.1000000000004</v>
      </c>
      <c r="K18" s="5"/>
      <c r="L18" s="2">
        <v>15.66</v>
      </c>
      <c r="M18" s="2">
        <f t="shared" si="1"/>
        <v>4099.7880000000005</v>
      </c>
    </row>
    <row r="19" spans="1:14">
      <c r="A19" s="2" t="s">
        <v>16</v>
      </c>
      <c r="B19" s="2" t="s">
        <v>6</v>
      </c>
      <c r="C19" s="2">
        <v>60</v>
      </c>
      <c r="D19" s="2"/>
      <c r="E19" s="2">
        <v>2582.5</v>
      </c>
      <c r="F19" s="2">
        <v>2582.5</v>
      </c>
      <c r="G19" s="2"/>
      <c r="H19" s="2"/>
      <c r="I19" s="2">
        <v>21.8</v>
      </c>
      <c r="J19" s="5">
        <f t="shared" si="0"/>
        <v>56298.5</v>
      </c>
      <c r="K19" s="5">
        <v>15.97</v>
      </c>
      <c r="L19" s="2">
        <v>17.57</v>
      </c>
      <c r="M19" s="2">
        <f t="shared" si="1"/>
        <v>45374.525000000001</v>
      </c>
      <c r="N19">
        <f>I19/K19</f>
        <v>1.3650594865372574</v>
      </c>
    </row>
    <row r="20" spans="1:14">
      <c r="A20" s="2" t="s">
        <v>16</v>
      </c>
      <c r="B20" s="2" t="s">
        <v>9</v>
      </c>
      <c r="C20" s="2">
        <v>60</v>
      </c>
      <c r="D20" s="2"/>
      <c r="E20" s="2">
        <v>2596</v>
      </c>
      <c r="F20" s="2">
        <v>2596</v>
      </c>
      <c r="G20" s="2"/>
      <c r="H20" s="2"/>
      <c r="I20" s="2">
        <v>21.8</v>
      </c>
      <c r="J20" s="5">
        <f t="shared" si="0"/>
        <v>56592.800000000003</v>
      </c>
      <c r="K20" s="5"/>
      <c r="L20" s="2">
        <v>17.57</v>
      </c>
      <c r="M20" s="2">
        <f t="shared" si="1"/>
        <v>45611.72</v>
      </c>
    </row>
    <row r="21" spans="1:14">
      <c r="A21" s="2" t="s">
        <v>17</v>
      </c>
      <c r="B21" s="2" t="s">
        <v>6</v>
      </c>
      <c r="C21" s="2">
        <v>4</v>
      </c>
      <c r="D21" s="2"/>
      <c r="E21" s="2">
        <v>222.4</v>
      </c>
      <c r="F21" s="2"/>
      <c r="G21" s="2"/>
      <c r="H21" s="2">
        <v>222.4</v>
      </c>
      <c r="I21" s="2">
        <v>32.58</v>
      </c>
      <c r="J21" s="5">
        <f t="shared" si="0"/>
        <v>7245.7919999999995</v>
      </c>
      <c r="K21" s="5"/>
      <c r="L21" s="2">
        <v>30.52</v>
      </c>
      <c r="M21" s="2">
        <f t="shared" si="1"/>
        <v>6787.6480000000001</v>
      </c>
    </row>
    <row r="22" spans="1:14">
      <c r="A22" s="2" t="s">
        <v>17</v>
      </c>
      <c r="B22" s="2">
        <v>4</v>
      </c>
      <c r="C22" s="2">
        <v>4</v>
      </c>
      <c r="D22" s="2"/>
      <c r="E22" s="2">
        <v>208.8</v>
      </c>
      <c r="F22" s="2"/>
      <c r="G22" s="2">
        <v>208.8</v>
      </c>
      <c r="H22" s="2"/>
      <c r="I22" s="2">
        <v>19.5</v>
      </c>
      <c r="J22" s="5">
        <f t="shared" si="0"/>
        <v>4071.6000000000004</v>
      </c>
      <c r="K22" s="5"/>
      <c r="L22" s="2">
        <v>16.77</v>
      </c>
      <c r="M22" s="2">
        <f t="shared" si="1"/>
        <v>3501.576</v>
      </c>
    </row>
    <row r="23" spans="1:14">
      <c r="A23" s="2" t="s">
        <v>17</v>
      </c>
      <c r="B23" s="2">
        <v>6</v>
      </c>
      <c r="C23" s="2">
        <v>8</v>
      </c>
      <c r="D23" s="2"/>
      <c r="E23" s="2">
        <v>355.4</v>
      </c>
      <c r="F23" s="2"/>
      <c r="G23" s="2"/>
      <c r="H23" s="2">
        <v>355.4</v>
      </c>
      <c r="I23" s="2">
        <v>32.58</v>
      </c>
      <c r="J23" s="5">
        <f t="shared" si="0"/>
        <v>11578.931999999999</v>
      </c>
      <c r="K23" s="5"/>
      <c r="L23" s="2">
        <v>26.23</v>
      </c>
      <c r="M23" s="2">
        <f t="shared" si="1"/>
        <v>9322.1419999999998</v>
      </c>
    </row>
    <row r="24" spans="1:14">
      <c r="A24" s="2" t="s">
        <v>17</v>
      </c>
      <c r="B24" s="2">
        <v>14</v>
      </c>
      <c r="C24" s="2">
        <v>18</v>
      </c>
      <c r="D24" s="2"/>
      <c r="E24" s="2">
        <v>719.52</v>
      </c>
      <c r="F24" s="2"/>
      <c r="G24" s="2"/>
      <c r="H24" s="2">
        <v>719.52</v>
      </c>
      <c r="I24" s="2">
        <v>32.58</v>
      </c>
      <c r="J24" s="5">
        <f t="shared" si="0"/>
        <v>23441.961599999999</v>
      </c>
      <c r="K24" s="5"/>
      <c r="L24" s="2">
        <v>30.52</v>
      </c>
      <c r="M24" s="2">
        <f t="shared" si="1"/>
        <v>21959.750400000001</v>
      </c>
    </row>
    <row r="25" spans="1:14">
      <c r="A25" s="2" t="s">
        <v>17</v>
      </c>
      <c r="B25" s="2">
        <v>16</v>
      </c>
      <c r="C25" s="2">
        <v>16</v>
      </c>
      <c r="D25" s="2"/>
      <c r="E25" s="2">
        <v>728.2</v>
      </c>
      <c r="F25" s="2"/>
      <c r="G25" s="2"/>
      <c r="H25" s="2">
        <v>728.2</v>
      </c>
      <c r="I25" s="2">
        <v>32.58</v>
      </c>
      <c r="J25" s="5">
        <f t="shared" si="0"/>
        <v>23724.756000000001</v>
      </c>
      <c r="K25" s="5"/>
      <c r="L25" s="2">
        <v>30.52</v>
      </c>
      <c r="M25" s="2">
        <f t="shared" si="1"/>
        <v>22224.664000000001</v>
      </c>
    </row>
    <row r="26" spans="1:14">
      <c r="A26" s="2" t="s">
        <v>17</v>
      </c>
      <c r="B26" s="2">
        <v>18</v>
      </c>
      <c r="C26" s="2">
        <v>16</v>
      </c>
      <c r="D26" s="2"/>
      <c r="E26" s="2">
        <v>738.6</v>
      </c>
      <c r="F26" s="2"/>
      <c r="G26" s="2"/>
      <c r="H26" s="2">
        <v>738.6</v>
      </c>
      <c r="I26" s="2">
        <v>32.58</v>
      </c>
      <c r="J26" s="5">
        <f t="shared" si="0"/>
        <v>24063.588</v>
      </c>
      <c r="K26" s="5"/>
      <c r="L26" s="2">
        <v>30.52</v>
      </c>
      <c r="M26" s="2">
        <f t="shared" si="1"/>
        <v>22542.072</v>
      </c>
    </row>
    <row r="27" spans="1:14">
      <c r="A27" s="2" t="s">
        <v>17</v>
      </c>
      <c r="B27" s="2">
        <v>20</v>
      </c>
      <c r="C27" s="2">
        <v>17</v>
      </c>
      <c r="D27" s="2"/>
      <c r="E27" s="2">
        <v>721.8</v>
      </c>
      <c r="F27" s="2"/>
      <c r="G27" s="2"/>
      <c r="H27" s="2">
        <v>721.8</v>
      </c>
      <c r="I27" s="2">
        <v>32.58</v>
      </c>
      <c r="J27" s="5">
        <f t="shared" si="0"/>
        <v>23516.243999999999</v>
      </c>
      <c r="K27" s="5"/>
      <c r="L27" s="2">
        <v>30.52</v>
      </c>
      <c r="M27" s="2">
        <f t="shared" si="1"/>
        <v>22029.335999999999</v>
      </c>
    </row>
    <row r="28" spans="1:14">
      <c r="A28" s="2" t="s">
        <v>17</v>
      </c>
      <c r="B28" s="2" t="s">
        <v>18</v>
      </c>
      <c r="C28" s="2">
        <v>16</v>
      </c>
      <c r="D28" s="2"/>
      <c r="E28" s="2">
        <v>783.1</v>
      </c>
      <c r="F28" s="2"/>
      <c r="G28" s="2"/>
      <c r="H28" s="2">
        <v>783.1</v>
      </c>
      <c r="I28" s="2">
        <v>32.58</v>
      </c>
      <c r="J28" s="5">
        <f t="shared" si="0"/>
        <v>25513.398000000001</v>
      </c>
      <c r="K28" s="5"/>
      <c r="L28" s="2">
        <v>26.23</v>
      </c>
      <c r="M28" s="2">
        <f t="shared" si="1"/>
        <v>20540.713</v>
      </c>
    </row>
    <row r="29" spans="1:14">
      <c r="A29" s="2" t="s">
        <v>19</v>
      </c>
      <c r="B29" s="2">
        <v>2</v>
      </c>
      <c r="C29" s="2">
        <v>4</v>
      </c>
      <c r="D29" s="2"/>
      <c r="E29" s="2">
        <v>222.1</v>
      </c>
      <c r="F29" s="2"/>
      <c r="G29" s="2"/>
      <c r="H29" s="2">
        <v>222.1</v>
      </c>
      <c r="I29" s="2">
        <v>32.58</v>
      </c>
      <c r="J29" s="5">
        <f t="shared" si="0"/>
        <v>7236.0179999999991</v>
      </c>
      <c r="K29" s="5"/>
      <c r="L29" s="2">
        <v>16.77</v>
      </c>
      <c r="M29" s="2">
        <f t="shared" si="1"/>
        <v>3724.6169999999997</v>
      </c>
    </row>
    <row r="30" spans="1:14">
      <c r="A30" s="2" t="s">
        <v>19</v>
      </c>
      <c r="B30" s="2" t="s">
        <v>6</v>
      </c>
      <c r="C30" s="2">
        <v>120</v>
      </c>
      <c r="D30" s="2"/>
      <c r="E30" s="2">
        <v>5120.2</v>
      </c>
      <c r="F30" s="2">
        <v>5120.2</v>
      </c>
      <c r="G30" s="2"/>
      <c r="H30" s="2"/>
      <c r="I30" s="2">
        <v>21.8</v>
      </c>
      <c r="J30" s="5">
        <f t="shared" si="0"/>
        <v>111620.36</v>
      </c>
      <c r="K30" s="5"/>
      <c r="L30" s="2">
        <v>17.57</v>
      </c>
      <c r="M30" s="2">
        <f t="shared" si="1"/>
        <v>89961.914000000004</v>
      </c>
    </row>
    <row r="31" spans="1:14">
      <c r="A31" s="2" t="s">
        <v>19</v>
      </c>
      <c r="B31" s="2" t="s">
        <v>9</v>
      </c>
      <c r="C31" s="2">
        <v>59</v>
      </c>
      <c r="D31" s="2"/>
      <c r="E31" s="2">
        <v>2514.5</v>
      </c>
      <c r="F31" s="2">
        <v>2514.5</v>
      </c>
      <c r="G31" s="2"/>
      <c r="H31" s="2"/>
      <c r="I31" s="2">
        <v>21.8</v>
      </c>
      <c r="J31" s="5">
        <f t="shared" si="0"/>
        <v>54816.1</v>
      </c>
      <c r="K31" s="5"/>
      <c r="L31" s="2">
        <v>17.57</v>
      </c>
      <c r="M31" s="2">
        <f t="shared" si="1"/>
        <v>44179.764999999999</v>
      </c>
    </row>
    <row r="32" spans="1:14">
      <c r="A32" s="2" t="s">
        <v>19</v>
      </c>
      <c r="B32" s="2" t="s">
        <v>11</v>
      </c>
      <c r="C32" s="2">
        <v>60</v>
      </c>
      <c r="D32" s="2"/>
      <c r="E32" s="2">
        <v>2564.1999999999998</v>
      </c>
      <c r="F32" s="2">
        <v>2564.1999999999998</v>
      </c>
      <c r="G32" s="2"/>
      <c r="H32" s="2"/>
      <c r="I32" s="2">
        <v>21.8</v>
      </c>
      <c r="J32" s="5">
        <f t="shared" si="0"/>
        <v>55899.56</v>
      </c>
      <c r="K32" s="5"/>
      <c r="L32" s="2">
        <v>17.57</v>
      </c>
      <c r="M32" s="2">
        <f t="shared" si="1"/>
        <v>45052.993999999999</v>
      </c>
    </row>
    <row r="33" spans="1:17">
      <c r="A33" s="2" t="s">
        <v>19</v>
      </c>
      <c r="B33" s="2" t="s">
        <v>7</v>
      </c>
      <c r="C33" s="2">
        <v>62</v>
      </c>
      <c r="D33" s="2"/>
      <c r="E33" s="2">
        <v>2637.5</v>
      </c>
      <c r="F33" s="2">
        <v>2637.5</v>
      </c>
      <c r="G33" s="2"/>
      <c r="H33" s="2"/>
      <c r="I33" s="2">
        <v>21.8</v>
      </c>
      <c r="J33" s="5">
        <f t="shared" si="0"/>
        <v>57497.5</v>
      </c>
      <c r="K33" s="5"/>
      <c r="L33" s="2">
        <v>17.57</v>
      </c>
      <c r="M33" s="2">
        <f t="shared" si="1"/>
        <v>46340.875</v>
      </c>
    </row>
    <row r="34" spans="1:17">
      <c r="A34" s="2" t="s">
        <v>19</v>
      </c>
      <c r="B34" s="2" t="s">
        <v>20</v>
      </c>
      <c r="C34" s="2">
        <v>114</v>
      </c>
      <c r="D34" s="2"/>
      <c r="E34" s="2">
        <v>2334.8000000000002</v>
      </c>
      <c r="F34" s="2">
        <v>2334.8000000000002</v>
      </c>
      <c r="G34" s="2"/>
      <c r="H34" s="2"/>
      <c r="I34" s="2">
        <v>21.8</v>
      </c>
      <c r="J34" s="5">
        <f t="shared" si="0"/>
        <v>50898.640000000007</v>
      </c>
      <c r="K34" s="5"/>
      <c r="L34" s="2">
        <v>17.57</v>
      </c>
      <c r="M34" s="2">
        <f t="shared" si="1"/>
        <v>41022.436000000002</v>
      </c>
      <c r="N34">
        <v>32.58</v>
      </c>
      <c r="O34">
        <f>N34*E34</f>
        <v>76067.784</v>
      </c>
    </row>
    <row r="35" spans="1:17">
      <c r="A35" s="2" t="s">
        <v>19</v>
      </c>
      <c r="B35" s="2" t="s">
        <v>21</v>
      </c>
      <c r="C35" s="2">
        <v>122</v>
      </c>
      <c r="D35" s="2"/>
      <c r="E35" s="2">
        <v>2348.9</v>
      </c>
      <c r="F35" s="2">
        <v>2348.9</v>
      </c>
      <c r="G35" s="2"/>
      <c r="H35" s="2"/>
      <c r="I35" s="2">
        <v>21.8</v>
      </c>
      <c r="J35" s="5">
        <f t="shared" si="0"/>
        <v>51206.020000000004</v>
      </c>
      <c r="K35" s="5"/>
      <c r="L35" s="2">
        <v>17.57</v>
      </c>
      <c r="M35" s="2">
        <f t="shared" si="1"/>
        <v>41270.173000000003</v>
      </c>
      <c r="N35">
        <v>32.58</v>
      </c>
      <c r="O35">
        <f>N35*E35</f>
        <v>76527.161999999997</v>
      </c>
    </row>
    <row r="36" spans="1:17">
      <c r="A36" s="2" t="s">
        <v>19</v>
      </c>
      <c r="B36" s="2" t="s">
        <v>3</v>
      </c>
      <c r="C36" s="2">
        <v>60</v>
      </c>
      <c r="D36" s="2"/>
      <c r="E36" s="2">
        <v>3230.36</v>
      </c>
      <c r="F36" s="2">
        <v>3230.36</v>
      </c>
      <c r="G36" s="2"/>
      <c r="H36" s="2"/>
      <c r="I36" s="2">
        <v>21.8</v>
      </c>
      <c r="J36" s="5">
        <f t="shared" si="0"/>
        <v>70421.847999999998</v>
      </c>
      <c r="K36" s="5"/>
      <c r="L36" s="2">
        <v>17.57</v>
      </c>
      <c r="M36" s="2">
        <f t="shared" si="1"/>
        <v>56757.425200000005</v>
      </c>
    </row>
    <row r="37" spans="1:17">
      <c r="A37" s="2" t="s">
        <v>19</v>
      </c>
      <c r="B37" s="2" t="s">
        <v>22</v>
      </c>
      <c r="C37" s="2">
        <v>70</v>
      </c>
      <c r="D37" s="2"/>
      <c r="E37" s="2">
        <v>2360.1</v>
      </c>
      <c r="F37" s="2">
        <v>2360.1</v>
      </c>
      <c r="G37" s="2"/>
      <c r="H37" s="2"/>
      <c r="I37" s="2">
        <v>21.8</v>
      </c>
      <c r="J37" s="5">
        <f t="shared" si="0"/>
        <v>51450.18</v>
      </c>
      <c r="K37" s="5"/>
      <c r="L37" s="2">
        <v>17.57</v>
      </c>
      <c r="M37" s="2">
        <f t="shared" si="1"/>
        <v>41466.957000000002</v>
      </c>
    </row>
    <row r="38" spans="1:17">
      <c r="A38" s="2" t="s">
        <v>23</v>
      </c>
      <c r="B38" s="2" t="s">
        <v>24</v>
      </c>
      <c r="C38" s="2">
        <v>24</v>
      </c>
      <c r="D38" s="2"/>
      <c r="E38" s="2">
        <v>1236.4000000000001</v>
      </c>
      <c r="F38" s="2"/>
      <c r="G38" s="2"/>
      <c r="H38" s="2">
        <v>1236.4000000000001</v>
      </c>
      <c r="I38" s="5">
        <v>32.58</v>
      </c>
      <c r="J38" s="5">
        <f t="shared" si="0"/>
        <v>40281.912000000004</v>
      </c>
      <c r="K38" s="5"/>
      <c r="L38" s="2">
        <v>30.52</v>
      </c>
      <c r="M38" s="2">
        <f t="shared" si="1"/>
        <v>37734.928</v>
      </c>
    </row>
    <row r="39" spans="1:17">
      <c r="A39" s="3" t="s">
        <v>33</v>
      </c>
      <c r="B39" s="3"/>
      <c r="C39" s="3">
        <v>1902</v>
      </c>
      <c r="D39" s="3"/>
      <c r="E39" s="3">
        <f>SUM(E5:E38)</f>
        <v>48190.810000000005</v>
      </c>
      <c r="F39" s="3">
        <f>SUM(F5:F38)</f>
        <v>30889.06</v>
      </c>
      <c r="G39" s="3">
        <f>SUM(G5:G38)</f>
        <v>9956.0299999999988</v>
      </c>
      <c r="H39" s="3">
        <f>SUM(H5:H38)</f>
        <v>7345.7200000000012</v>
      </c>
      <c r="I39" s="2"/>
      <c r="J39" s="5">
        <f>SUM(J5:J38)</f>
        <v>1106847.6506000001</v>
      </c>
      <c r="K39" s="5"/>
      <c r="L39" s="2"/>
      <c r="M39" s="2">
        <f>SUM(M5:M38)</f>
        <v>925646.14370000002</v>
      </c>
      <c r="O39">
        <f>SUM(O34:O38)</f>
        <v>152594.946</v>
      </c>
      <c r="Q39">
        <f>M39+O39</f>
        <v>1078241.0896999999</v>
      </c>
    </row>
    <row r="40" spans="1:17">
      <c r="F40">
        <f>F39*18.85*12/1000</f>
        <v>6987.1053720000018</v>
      </c>
      <c r="G40">
        <f>G39*17.83*12/1000</f>
        <v>2130.1921787999995</v>
      </c>
      <c r="H40">
        <f>H39*30.24*12/1000</f>
        <v>2665.6148736000005</v>
      </c>
      <c r="J40">
        <v>1187421.55</v>
      </c>
    </row>
    <row r="41" spans="1:17">
      <c r="H41">
        <f>F40+G40+H40</f>
        <v>11782.912424400001</v>
      </c>
      <c r="J41" s="4">
        <f>J39-J40</f>
        <v>-80573.899399999995</v>
      </c>
      <c r="K41" s="4"/>
    </row>
    <row r="42" spans="1:17">
      <c r="J42">
        <f>J39*12</f>
        <v>13282171.8072</v>
      </c>
    </row>
    <row r="43" spans="1:17">
      <c r="A43" t="s">
        <v>34</v>
      </c>
      <c r="C43">
        <f>F39</f>
        <v>30889.06</v>
      </c>
      <c r="J43">
        <v>1053641</v>
      </c>
    </row>
    <row r="44" spans="1:17">
      <c r="A44" t="s">
        <v>35</v>
      </c>
      <c r="C44">
        <f>G39</f>
        <v>9956.0299999999988</v>
      </c>
      <c r="J44">
        <v>13275885</v>
      </c>
    </row>
    <row r="45" spans="1:17">
      <c r="A45" t="s">
        <v>36</v>
      </c>
      <c r="C45">
        <f>H39</f>
        <v>7345.7200000000012</v>
      </c>
      <c r="J45">
        <f>J42-J44</f>
        <v>6286.8071999996901</v>
      </c>
    </row>
    <row r="46" spans="1:17">
      <c r="A46" t="s">
        <v>46</v>
      </c>
      <c r="C46">
        <v>783.1</v>
      </c>
    </row>
    <row r="48" spans="1:17">
      <c r="A48" t="s">
        <v>40</v>
      </c>
      <c r="C48">
        <f>C43+E38</f>
        <v>32125.460000000003</v>
      </c>
    </row>
    <row r="51" spans="1:9">
      <c r="A51" t="s">
        <v>41</v>
      </c>
      <c r="C51">
        <v>8477.7000000000007</v>
      </c>
      <c r="H51">
        <v>92</v>
      </c>
      <c r="I51">
        <f>(15383.4/12-209.8)/(48190.81+962.3)*1000</f>
        <v>21.812455000304155</v>
      </c>
    </row>
    <row r="52" spans="1:9">
      <c r="A52" t="s">
        <v>42</v>
      </c>
      <c r="C52">
        <f>658.84-52.9</f>
        <v>605.94000000000005</v>
      </c>
      <c r="E52">
        <f>C52/C45/7*1000</f>
        <v>11.784121521492398</v>
      </c>
      <c r="G52">
        <f>C52*1.18</f>
        <v>715.00920000000008</v>
      </c>
      <c r="H52">
        <f>G52/7</f>
        <v>102.14417142857144</v>
      </c>
    </row>
    <row r="53" spans="1:9">
      <c r="A53" t="s">
        <v>45</v>
      </c>
      <c r="C53">
        <v>52.9</v>
      </c>
      <c r="E53">
        <f>C53*1000/C46/7</f>
        <v>9.6502909681303244</v>
      </c>
      <c r="G53">
        <f>C53*1.18</f>
        <v>62.421999999999997</v>
      </c>
      <c r="H53">
        <f>G53/7</f>
        <v>8.9174285714285713</v>
      </c>
    </row>
    <row r="54" spans="1:9">
      <c r="A54" t="s">
        <v>43</v>
      </c>
      <c r="C54">
        <f>(409.8+145.2)+14*7</f>
        <v>653</v>
      </c>
      <c r="E54">
        <f>C54*1000/E39/7</f>
        <v>1.93575734223422</v>
      </c>
      <c r="H54">
        <f>0.25*7.8*1.12*1.342</f>
        <v>2.9309280000000002</v>
      </c>
    </row>
    <row r="55" spans="1:9">
      <c r="A55" t="s">
        <v>47</v>
      </c>
      <c r="C55">
        <v>759.11</v>
      </c>
      <c r="E55">
        <f>C55*1000/C48/7</f>
        <v>3.3756492736379715</v>
      </c>
      <c r="G55">
        <f>10*7.8*1.12*1.342</f>
        <v>117.23712000000002</v>
      </c>
      <c r="H55">
        <f>G55*1000/C43</f>
        <v>3.7954253059173708</v>
      </c>
    </row>
    <row r="56" spans="1:9">
      <c r="H56">
        <f>SUM(H51:H55)</f>
        <v>209.78795330591737</v>
      </c>
    </row>
    <row r="57" spans="1:9" ht="53.25" customHeight="1">
      <c r="C57" s="53" t="s">
        <v>123</v>
      </c>
      <c r="D57" s="53"/>
      <c r="E57" s="53"/>
    </row>
    <row r="58" spans="1:9" ht="53.25" customHeight="1">
      <c r="C58" s="85" t="s">
        <v>158</v>
      </c>
      <c r="D58" s="85"/>
      <c r="E58" s="85"/>
    </row>
    <row r="59" spans="1:9" ht="53.25" customHeight="1">
      <c r="A59" s="70" t="s">
        <v>145</v>
      </c>
      <c r="B59" s="70"/>
      <c r="C59" s="70"/>
      <c r="D59" s="70"/>
      <c r="E59" s="70"/>
    </row>
    <row r="60" spans="1:9" ht="84" customHeight="1">
      <c r="A60" s="10" t="s">
        <v>141</v>
      </c>
      <c r="B60" s="16" t="s">
        <v>142</v>
      </c>
      <c r="C60" s="10" t="s">
        <v>143</v>
      </c>
      <c r="D60" s="10" t="s">
        <v>148</v>
      </c>
      <c r="E60" s="10" t="s">
        <v>144</v>
      </c>
    </row>
    <row r="61" spans="1:9">
      <c r="A61" s="71" t="s">
        <v>48</v>
      </c>
      <c r="B61" s="2" t="s">
        <v>49</v>
      </c>
      <c r="C61" s="2"/>
      <c r="D61" s="2"/>
      <c r="E61" s="30">
        <v>14.78</v>
      </c>
    </row>
    <row r="62" spans="1:9">
      <c r="A62" s="72"/>
      <c r="B62" s="2" t="s">
        <v>62</v>
      </c>
      <c r="C62" s="2"/>
      <c r="D62" s="2"/>
      <c r="E62" s="29">
        <v>1.33</v>
      </c>
    </row>
    <row r="63" spans="1:9">
      <c r="A63" s="72"/>
      <c r="B63" s="2" t="s">
        <v>121</v>
      </c>
      <c r="C63" s="2"/>
      <c r="D63" s="2"/>
      <c r="E63" s="29">
        <v>2.74</v>
      </c>
      <c r="G63">
        <v>1.94</v>
      </c>
    </row>
    <row r="64" spans="1:9">
      <c r="A64" s="72"/>
      <c r="B64" s="2" t="s">
        <v>122</v>
      </c>
      <c r="C64" s="2"/>
      <c r="D64" s="2">
        <v>0.31</v>
      </c>
      <c r="E64" s="29">
        <v>0.31</v>
      </c>
    </row>
    <row r="65" spans="1:11">
      <c r="A65" s="72"/>
      <c r="B65" s="2" t="s">
        <v>149</v>
      </c>
      <c r="C65" s="2"/>
      <c r="D65" s="2">
        <v>0.74</v>
      </c>
      <c r="E65" s="29"/>
    </row>
    <row r="66" spans="1:11">
      <c r="A66" s="73"/>
      <c r="B66" s="2"/>
      <c r="C66" s="3">
        <v>15.97</v>
      </c>
      <c r="D66" s="3">
        <f>C66*1.2+0.31+0.74</f>
        <v>20.213999999999999</v>
      </c>
      <c r="E66" s="34">
        <f>SUM(E61:E64)</f>
        <v>19.16</v>
      </c>
      <c r="F66" s="4">
        <f>E66/C66</f>
        <v>1.1997495303694428</v>
      </c>
      <c r="G66">
        <f>D66/C66</f>
        <v>1.2657482780212899</v>
      </c>
    </row>
    <row r="67" spans="1:11">
      <c r="A67" s="71" t="s">
        <v>52</v>
      </c>
      <c r="B67" s="2" t="s">
        <v>49</v>
      </c>
      <c r="C67" s="2"/>
      <c r="D67" s="2"/>
      <c r="E67" s="30">
        <v>14.78</v>
      </c>
      <c r="F67" s="4"/>
    </row>
    <row r="68" spans="1:11">
      <c r="A68" s="72"/>
      <c r="B68" s="2" t="s">
        <v>121</v>
      </c>
      <c r="C68" s="2"/>
      <c r="D68" s="2"/>
      <c r="E68" s="29">
        <v>2.74</v>
      </c>
      <c r="F68" s="4"/>
      <c r="G68">
        <v>1.94</v>
      </c>
      <c r="I68">
        <f>2.41+3.41+9.17+0.31+1.68</f>
        <v>16.98</v>
      </c>
      <c r="J68" t="s">
        <v>61</v>
      </c>
    </row>
    <row r="69" spans="1:11">
      <c r="A69" s="72"/>
      <c r="B69" s="2" t="s">
        <v>122</v>
      </c>
      <c r="C69" s="2"/>
      <c r="D69" s="2">
        <v>0.31</v>
      </c>
      <c r="E69" s="29">
        <v>0.31</v>
      </c>
      <c r="F69" s="4"/>
    </row>
    <row r="70" spans="1:11">
      <c r="A70" s="73"/>
      <c r="B70" s="2"/>
      <c r="C70" s="3">
        <v>15.24</v>
      </c>
      <c r="D70" s="3">
        <f>C70*1.2+0.31</f>
        <v>18.597999999999999</v>
      </c>
      <c r="E70" s="34">
        <f>SUM(E67:E69)</f>
        <v>17.829999999999998</v>
      </c>
      <c r="F70" s="4">
        <f>E70/C70</f>
        <v>1.1699475065616796</v>
      </c>
      <c r="G70">
        <f>D70/C70</f>
        <v>1.2203412073490814</v>
      </c>
      <c r="I70">
        <v>1.94</v>
      </c>
      <c r="J70" t="s">
        <v>43</v>
      </c>
    </row>
    <row r="71" spans="1:11">
      <c r="A71" s="71" t="s">
        <v>50</v>
      </c>
      <c r="B71" s="2" t="s">
        <v>51</v>
      </c>
      <c r="C71" s="2"/>
      <c r="D71" s="2"/>
      <c r="E71" s="30">
        <v>14.78</v>
      </c>
      <c r="F71" s="4"/>
      <c r="J71" t="s">
        <v>120</v>
      </c>
    </row>
    <row r="72" spans="1:11">
      <c r="A72" s="72"/>
      <c r="B72" s="2" t="s">
        <v>121</v>
      </c>
      <c r="C72" s="2"/>
      <c r="D72" s="2"/>
      <c r="E72" s="29">
        <v>2.74</v>
      </c>
      <c r="F72" s="4"/>
      <c r="G72">
        <v>1.94</v>
      </c>
      <c r="I72">
        <v>18.850000000000001</v>
      </c>
    </row>
    <row r="73" spans="1:11">
      <c r="A73" s="72"/>
      <c r="B73" s="2" t="s">
        <v>124</v>
      </c>
      <c r="C73" s="2"/>
      <c r="D73" s="2"/>
      <c r="E73" s="30">
        <v>12.41</v>
      </c>
      <c r="F73" s="4"/>
      <c r="G73">
        <v>11.78</v>
      </c>
    </row>
    <row r="74" spans="1:11">
      <c r="A74" s="72"/>
      <c r="B74" s="2" t="s">
        <v>122</v>
      </c>
      <c r="C74" s="2"/>
      <c r="D74" s="2">
        <v>0.31</v>
      </c>
      <c r="E74" s="30">
        <v>0.31</v>
      </c>
      <c r="F74" s="4"/>
    </row>
    <row r="75" spans="1:11">
      <c r="A75" s="73"/>
      <c r="B75" s="2"/>
      <c r="C75" s="3">
        <v>27.74</v>
      </c>
      <c r="D75" s="3">
        <f>C75*1.2+0.31</f>
        <v>33.597999999999999</v>
      </c>
      <c r="E75" s="34">
        <v>30.24</v>
      </c>
      <c r="F75" s="4">
        <f>E75/C75</f>
        <v>1.0901225666906993</v>
      </c>
      <c r="G75">
        <f>D75/C75</f>
        <v>1.2111751982696468</v>
      </c>
    </row>
    <row r="76" spans="1:11">
      <c r="A76" s="67" t="s">
        <v>63</v>
      </c>
      <c r="B76" s="2" t="s">
        <v>49</v>
      </c>
      <c r="C76" s="2"/>
      <c r="D76" s="2"/>
      <c r="E76" s="30">
        <v>15.09</v>
      </c>
      <c r="F76" s="4"/>
    </row>
    <row r="77" spans="1:11">
      <c r="A77" s="68"/>
      <c r="B77" s="2" t="s">
        <v>121</v>
      </c>
      <c r="C77" s="2"/>
      <c r="D77" s="2"/>
      <c r="E77" s="30">
        <v>2.74</v>
      </c>
      <c r="F77" s="4"/>
      <c r="K77">
        <v>2.74</v>
      </c>
    </row>
    <row r="78" spans="1:11">
      <c r="A78" s="68"/>
      <c r="B78" s="2" t="s">
        <v>124</v>
      </c>
      <c r="C78" s="2"/>
      <c r="D78" s="2"/>
      <c r="E78" s="30">
        <v>9.66</v>
      </c>
      <c r="F78" s="4"/>
    </row>
    <row r="79" spans="1:11">
      <c r="A79" s="68"/>
      <c r="B79" s="2" t="s">
        <v>122</v>
      </c>
      <c r="C79" s="2"/>
      <c r="D79" s="2">
        <v>0.31</v>
      </c>
      <c r="E79" s="30">
        <v>0.31</v>
      </c>
      <c r="F79" s="4"/>
    </row>
    <row r="80" spans="1:11">
      <c r="A80" s="69"/>
      <c r="B80" s="2"/>
      <c r="C80" s="3">
        <v>23.84</v>
      </c>
      <c r="D80" s="3">
        <f>C80*1.2+0.31</f>
        <v>28.917999999999999</v>
      </c>
      <c r="E80" s="34">
        <v>27.8</v>
      </c>
      <c r="F80" s="4">
        <f>E80/C80</f>
        <v>1.1661073825503356</v>
      </c>
      <c r="G80">
        <f>D80/C80</f>
        <v>1.213003355704698</v>
      </c>
    </row>
    <row r="82" spans="1:7">
      <c r="A82" s="80" t="s">
        <v>125</v>
      </c>
      <c r="B82" s="80"/>
      <c r="C82" s="80"/>
      <c r="D82" s="80"/>
      <c r="E82" s="80"/>
      <c r="G82">
        <v>1053640</v>
      </c>
    </row>
    <row r="83" spans="1:7">
      <c r="A83" s="86" t="s">
        <v>126</v>
      </c>
      <c r="B83" s="86"/>
      <c r="C83" s="86"/>
      <c r="D83" s="86"/>
      <c r="E83" s="86"/>
    </row>
    <row r="84" spans="1:7" ht="22.5" customHeight="1">
      <c r="A84" s="86" t="s">
        <v>128</v>
      </c>
      <c r="B84" s="86"/>
      <c r="C84" s="86"/>
      <c r="D84" s="86"/>
      <c r="E84" s="86"/>
    </row>
    <row r="85" spans="1:7">
      <c r="A85" s="86" t="s">
        <v>127</v>
      </c>
      <c r="B85" s="86"/>
      <c r="C85" s="86"/>
      <c r="D85" s="86"/>
      <c r="E85" s="86"/>
    </row>
    <row r="86" spans="1:7">
      <c r="A86" s="86" t="s">
        <v>130</v>
      </c>
      <c r="B86" s="86"/>
      <c r="C86" s="86"/>
      <c r="D86" s="86"/>
      <c r="E86" s="86"/>
    </row>
    <row r="87" spans="1:7">
      <c r="A87" s="86" t="s">
        <v>129</v>
      </c>
      <c r="B87" s="86"/>
      <c r="C87" s="86"/>
      <c r="D87" s="86"/>
      <c r="E87" s="86"/>
    </row>
    <row r="88" spans="1:7">
      <c r="A88" s="86" t="s">
        <v>131</v>
      </c>
      <c r="B88" s="86"/>
      <c r="C88" s="86"/>
      <c r="D88" s="86"/>
      <c r="E88" s="86"/>
    </row>
    <row r="89" spans="1:7">
      <c r="A89" s="86" t="s">
        <v>132</v>
      </c>
      <c r="B89" s="86"/>
      <c r="C89" s="86"/>
      <c r="D89" s="86"/>
      <c r="E89" s="86"/>
    </row>
    <row r="90" spans="1:7" ht="33" customHeight="1">
      <c r="A90" s="86" t="s">
        <v>133</v>
      </c>
      <c r="B90" s="86"/>
      <c r="C90" s="86"/>
      <c r="D90" s="86"/>
      <c r="E90" s="86"/>
    </row>
    <row r="91" spans="1:7">
      <c r="A91" s="86" t="s">
        <v>134</v>
      </c>
      <c r="B91" s="86"/>
      <c r="C91" s="86"/>
      <c r="D91" s="86"/>
      <c r="E91" s="86"/>
    </row>
    <row r="92" spans="1:7" ht="32.25" customHeight="1">
      <c r="A92" s="86" t="s">
        <v>135</v>
      </c>
      <c r="B92" s="86"/>
      <c r="C92" s="86"/>
      <c r="D92" s="86"/>
      <c r="E92" s="86"/>
    </row>
    <row r="93" spans="1:7" ht="30.75" customHeight="1">
      <c r="A93" s="86" t="s">
        <v>147</v>
      </c>
      <c r="B93" s="86"/>
      <c r="C93" s="86"/>
      <c r="D93" s="86"/>
      <c r="E93" s="86"/>
    </row>
    <row r="94" spans="1:7">
      <c r="A94" s="86" t="s">
        <v>146</v>
      </c>
      <c r="B94" s="86"/>
      <c r="C94" s="86"/>
      <c r="D94" s="86"/>
      <c r="E94" s="86"/>
    </row>
    <row r="95" spans="1:7">
      <c r="A95" s="27"/>
      <c r="B95" s="27"/>
      <c r="C95" s="27"/>
      <c r="D95" s="32"/>
      <c r="E95" s="27"/>
    </row>
    <row r="96" spans="1:7">
      <c r="A96" s="27"/>
      <c r="B96" s="27"/>
      <c r="C96" s="27"/>
      <c r="D96" s="32"/>
      <c r="E96" s="27"/>
    </row>
    <row r="97" spans="1:8">
      <c r="C97" t="s">
        <v>44</v>
      </c>
      <c r="E97">
        <v>11.78</v>
      </c>
      <c r="F97">
        <v>7345.7</v>
      </c>
      <c r="G97">
        <f>E97*F97</f>
        <v>86532.34599999999</v>
      </c>
    </row>
    <row r="98" spans="1:8">
      <c r="C98" t="s">
        <v>43</v>
      </c>
      <c r="E98">
        <v>1.94</v>
      </c>
      <c r="F98">
        <v>48176.3</v>
      </c>
      <c r="G98">
        <f>E98*F98</f>
        <v>93462.021999999997</v>
      </c>
    </row>
    <row r="99" spans="1:8">
      <c r="A99" t="s">
        <v>53</v>
      </c>
      <c r="C99" t="s">
        <v>49</v>
      </c>
      <c r="E99" s="4">
        <f>G99/F99</f>
        <v>18.13434472966998</v>
      </c>
      <c r="F99">
        <v>48176.3</v>
      </c>
      <c r="G99">
        <f>G82-G97-G98</f>
        <v>873645.63199999998</v>
      </c>
      <c r="H99">
        <f>18.13/14.23</f>
        <v>1.274068868587491</v>
      </c>
    </row>
    <row r="100" spans="1:8">
      <c r="A100" t="s">
        <v>54</v>
      </c>
    </row>
    <row r="101" spans="1:8">
      <c r="A101" t="s">
        <v>55</v>
      </c>
    </row>
    <row r="102" spans="1:8">
      <c r="A102" t="s">
        <v>56</v>
      </c>
      <c r="C102" t="s">
        <v>93</v>
      </c>
      <c r="E102">
        <v>3321</v>
      </c>
    </row>
    <row r="103" spans="1:8">
      <c r="A103" t="s">
        <v>55</v>
      </c>
      <c r="E103">
        <v>2280000</v>
      </c>
      <c r="F103">
        <v>32125.46</v>
      </c>
      <c r="G103">
        <f>E103/F103/12</f>
        <v>5.9143121997319268</v>
      </c>
    </row>
    <row r="104" spans="1:8">
      <c r="B104" t="e">
        <f>#REF!/#REF!/12</f>
        <v>#REF!</v>
      </c>
      <c r="G104" t="s">
        <v>89</v>
      </c>
    </row>
    <row r="105" spans="1:8">
      <c r="A105" t="s">
        <v>58</v>
      </c>
    </row>
    <row r="107" spans="1:8">
      <c r="A107" t="s">
        <v>57</v>
      </c>
    </row>
    <row r="108" spans="1:8">
      <c r="B108">
        <v>29.61</v>
      </c>
    </row>
  </sheetData>
  <mergeCells count="26">
    <mergeCell ref="A94:E94"/>
    <mergeCell ref="A93:E93"/>
    <mergeCell ref="A89:E89"/>
    <mergeCell ref="A87:E87"/>
    <mergeCell ref="A90:E90"/>
    <mergeCell ref="A91:E91"/>
    <mergeCell ref="A92:E92"/>
    <mergeCell ref="A83:E83"/>
    <mergeCell ref="A84:E84"/>
    <mergeCell ref="A85:E85"/>
    <mergeCell ref="A86:E86"/>
    <mergeCell ref="A88:E88"/>
    <mergeCell ref="C57:E57"/>
    <mergeCell ref="A59:E59"/>
    <mergeCell ref="A82:E82"/>
    <mergeCell ref="I3:I4"/>
    <mergeCell ref="J3:J4"/>
    <mergeCell ref="A3:A4"/>
    <mergeCell ref="B3:B4"/>
    <mergeCell ref="C3:C4"/>
    <mergeCell ref="E3:G3"/>
    <mergeCell ref="A61:A66"/>
    <mergeCell ref="A67:A70"/>
    <mergeCell ref="A71:A75"/>
    <mergeCell ref="A76:A80"/>
    <mergeCell ref="C58:E5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workbookViewId="0">
      <selection activeCell="E25" sqref="E25"/>
    </sheetView>
  </sheetViews>
  <sheetFormatPr defaultRowHeight="15"/>
  <cols>
    <col min="1" max="1" width="45" customWidth="1"/>
    <col min="2" max="2" width="10.85546875" customWidth="1"/>
    <col min="4" max="4" width="13.140625" customWidth="1"/>
  </cols>
  <sheetData>
    <row r="1" spans="1:5" ht="68.25" customHeight="1">
      <c r="A1" s="80" t="s">
        <v>99</v>
      </c>
      <c r="B1" s="80"/>
      <c r="C1" s="80"/>
      <c r="D1" s="80"/>
    </row>
    <row r="2" spans="1:5" ht="45">
      <c r="A2" s="10" t="s">
        <v>64</v>
      </c>
      <c r="B2" s="10" t="s">
        <v>65</v>
      </c>
      <c r="C2" s="10" t="s">
        <v>66</v>
      </c>
      <c r="D2" s="10" t="s">
        <v>67</v>
      </c>
    </row>
    <row r="3" spans="1:5">
      <c r="A3" s="10">
        <v>1</v>
      </c>
      <c r="B3" s="10">
        <v>2</v>
      </c>
      <c r="C3" s="10">
        <v>3</v>
      </c>
      <c r="D3" s="10">
        <v>4</v>
      </c>
    </row>
    <row r="4" spans="1:5">
      <c r="A4" s="7" t="s">
        <v>69</v>
      </c>
      <c r="B4" s="8"/>
      <c r="C4" s="8"/>
      <c r="D4" s="9"/>
    </row>
    <row r="5" spans="1:5" ht="30">
      <c r="A5" s="11" t="s">
        <v>98</v>
      </c>
      <c r="B5" s="2">
        <v>100</v>
      </c>
      <c r="C5" s="2">
        <v>4683.8999999999996</v>
      </c>
      <c r="D5" s="2">
        <v>4683.8999999999996</v>
      </c>
    </row>
    <row r="6" spans="1:5">
      <c r="A6" s="81" t="s">
        <v>100</v>
      </c>
      <c r="B6" s="81"/>
      <c r="C6" s="81"/>
      <c r="D6" s="81"/>
    </row>
    <row r="7" spans="1:5">
      <c r="A7" s="13" t="s">
        <v>72</v>
      </c>
      <c r="B7" s="12">
        <v>310</v>
      </c>
      <c r="C7" s="14">
        <v>862.6</v>
      </c>
      <c r="D7" s="14">
        <f>C7/3*4*1.16-9.03*2*12</f>
        <v>1117.4346666666668</v>
      </c>
    </row>
    <row r="8" spans="1:5">
      <c r="A8" s="13" t="s">
        <v>73</v>
      </c>
      <c r="B8" s="12">
        <v>320</v>
      </c>
      <c r="C8" s="14">
        <f>C7*0.302</f>
        <v>260.5052</v>
      </c>
      <c r="D8" s="14">
        <f>D7*0.302</f>
        <v>337.46526933333337</v>
      </c>
    </row>
    <row r="9" spans="1:5">
      <c r="A9" s="13" t="s">
        <v>84</v>
      </c>
      <c r="B9" s="12">
        <v>800</v>
      </c>
      <c r="C9" s="14">
        <f>(C8+C7)*0.1</f>
        <v>112.31052</v>
      </c>
      <c r="D9" s="14">
        <f t="shared" ref="D9" si="0">C9/3*4</f>
        <v>149.74735999999999</v>
      </c>
    </row>
    <row r="10" spans="1:5">
      <c r="A10" s="13" t="s">
        <v>85</v>
      </c>
      <c r="B10" s="12">
        <v>900</v>
      </c>
      <c r="C10" s="14">
        <f>SUM(C7:C9)</f>
        <v>1235.41572</v>
      </c>
      <c r="D10" s="14">
        <f>SUM(D7:D9)</f>
        <v>1604.6472960000003</v>
      </c>
    </row>
    <row r="11" spans="1:5">
      <c r="A11" s="13" t="s">
        <v>86</v>
      </c>
      <c r="B11" s="12">
        <v>1100</v>
      </c>
      <c r="C11" s="2">
        <v>12.3</v>
      </c>
      <c r="D11" s="14">
        <v>18.899999999999999</v>
      </c>
    </row>
    <row r="12" spans="1:5">
      <c r="A12" s="13" t="s">
        <v>87</v>
      </c>
      <c r="B12" s="12">
        <v>1200</v>
      </c>
      <c r="C12" s="14">
        <f>SUM(C10:C11)</f>
        <v>1247.7157199999999</v>
      </c>
      <c r="D12" s="14">
        <f>SUM(D10:D11)</f>
        <v>1623.5472960000004</v>
      </c>
    </row>
    <row r="13" spans="1:5" ht="30">
      <c r="A13" s="13" t="s">
        <v>88</v>
      </c>
      <c r="B13" s="12">
        <v>1300</v>
      </c>
      <c r="C13" s="22">
        <f>C12/C5/9*1000</f>
        <v>29.598215162578196</v>
      </c>
      <c r="D13" s="22">
        <f>D12/D5/12*1000</f>
        <v>28.885246909626602</v>
      </c>
    </row>
    <row r="14" spans="1:5" ht="45">
      <c r="A14" s="13" t="s">
        <v>92</v>
      </c>
      <c r="B14" s="2"/>
      <c r="C14" s="16">
        <v>29.61</v>
      </c>
      <c r="D14" s="23">
        <f>SUM(D13:D13)</f>
        <v>28.885246909626602</v>
      </c>
      <c r="E14" s="4">
        <f>D14/C14</f>
        <v>0.9755233674308208</v>
      </c>
    </row>
    <row r="15" spans="1:5">
      <c r="A15" s="17"/>
      <c r="B15" s="18"/>
      <c r="C15" s="19"/>
      <c r="D15" s="20"/>
    </row>
    <row r="16" spans="1:5">
      <c r="A16" s="77" t="s">
        <v>101</v>
      </c>
      <c r="B16" s="77"/>
      <c r="C16" s="77"/>
      <c r="D16" s="77"/>
    </row>
  </sheetData>
  <mergeCells count="3">
    <mergeCell ref="A6:D6"/>
    <mergeCell ref="A1:D1"/>
    <mergeCell ref="A16:D1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opLeftCell="A64" workbookViewId="0">
      <selection activeCell="A85" sqref="A85:E85"/>
    </sheetView>
  </sheetViews>
  <sheetFormatPr defaultRowHeight="15"/>
  <cols>
    <col min="1" max="1" width="18" customWidth="1"/>
    <col min="2" max="2" width="24.5703125" customWidth="1"/>
    <col min="3" max="3" width="14.7109375" customWidth="1"/>
    <col min="4" max="4" width="13.5703125" customWidth="1"/>
    <col min="5" max="5" width="11" bestFit="1" customWidth="1"/>
    <col min="10" max="10" width="25.42578125" customWidth="1"/>
    <col min="11" max="11" width="12.42578125" customWidth="1"/>
  </cols>
  <sheetData>
    <row r="1" spans="1:14">
      <c r="B1" t="s">
        <v>25</v>
      </c>
    </row>
    <row r="2" spans="1:14">
      <c r="A2" t="s">
        <v>26</v>
      </c>
      <c r="I2" t="s">
        <v>94</v>
      </c>
    </row>
    <row r="3" spans="1:14">
      <c r="A3" s="60" t="s">
        <v>27</v>
      </c>
      <c r="B3" s="60" t="s">
        <v>28</v>
      </c>
      <c r="C3" s="60" t="s">
        <v>29</v>
      </c>
      <c r="D3" s="37"/>
      <c r="E3" s="63" t="s">
        <v>30</v>
      </c>
      <c r="F3" s="63"/>
      <c r="G3" s="63"/>
      <c r="H3" s="38" t="s">
        <v>32</v>
      </c>
      <c r="I3" s="64" t="s">
        <v>59</v>
      </c>
      <c r="J3" s="64" t="s">
        <v>60</v>
      </c>
      <c r="K3" s="15"/>
    </row>
    <row r="4" spans="1:14">
      <c r="A4" s="60"/>
      <c r="B4" s="60"/>
      <c r="C4" s="60"/>
      <c r="D4" s="37"/>
      <c r="E4" s="38" t="s">
        <v>31</v>
      </c>
      <c r="F4" s="38" t="s">
        <v>37</v>
      </c>
      <c r="G4" s="38" t="s">
        <v>38</v>
      </c>
      <c r="H4" s="38" t="s">
        <v>39</v>
      </c>
      <c r="I4" s="65"/>
      <c r="J4" s="65"/>
      <c r="K4" s="15"/>
      <c r="L4" s="6">
        <v>0.1</v>
      </c>
    </row>
    <row r="5" spans="1:14">
      <c r="A5" s="2" t="s">
        <v>0</v>
      </c>
      <c r="B5" s="2">
        <v>1</v>
      </c>
      <c r="C5" s="2">
        <v>16</v>
      </c>
      <c r="D5" s="2"/>
      <c r="E5" s="2">
        <v>739</v>
      </c>
      <c r="F5" s="2"/>
      <c r="G5" s="2"/>
      <c r="H5" s="2">
        <v>739</v>
      </c>
      <c r="I5" s="5">
        <v>32.58</v>
      </c>
      <c r="J5" s="5">
        <f>I5*E5</f>
        <v>24076.62</v>
      </c>
      <c r="K5" s="5">
        <v>27.74</v>
      </c>
      <c r="L5" s="2">
        <v>30.52</v>
      </c>
      <c r="M5" s="2">
        <f>L5*E5</f>
        <v>22554.28</v>
      </c>
      <c r="N5">
        <f>I5/K5</f>
        <v>1.174477289113194</v>
      </c>
    </row>
    <row r="6" spans="1:14">
      <c r="A6" s="2" t="s">
        <v>0</v>
      </c>
      <c r="B6" s="2">
        <v>2</v>
      </c>
      <c r="C6" s="2">
        <v>18</v>
      </c>
      <c r="D6" s="2"/>
      <c r="E6" s="2">
        <v>879.2</v>
      </c>
      <c r="F6" s="2"/>
      <c r="G6" s="2"/>
      <c r="H6" s="2">
        <v>879.2</v>
      </c>
      <c r="I6" s="2">
        <v>32.58</v>
      </c>
      <c r="J6" s="5">
        <f t="shared" ref="J6:J38" si="0">I6*E6</f>
        <v>28644.335999999999</v>
      </c>
      <c r="K6" s="5"/>
      <c r="L6" s="2">
        <v>30.52</v>
      </c>
      <c r="M6" s="2">
        <f t="shared" ref="M6:M38" si="1">L6*E6</f>
        <v>26833.184000000001</v>
      </c>
    </row>
    <row r="7" spans="1:14">
      <c r="A7" s="2" t="s">
        <v>1</v>
      </c>
      <c r="B7" s="2" t="s">
        <v>2</v>
      </c>
      <c r="C7" s="2">
        <v>25</v>
      </c>
      <c r="D7" s="2"/>
      <c r="E7" s="2">
        <v>1599</v>
      </c>
      <c r="F7" s="2"/>
      <c r="G7" s="2">
        <v>1599</v>
      </c>
      <c r="H7" s="2"/>
      <c r="I7" s="2">
        <v>19.5</v>
      </c>
      <c r="J7" s="5">
        <f t="shared" si="0"/>
        <v>31180.5</v>
      </c>
      <c r="K7" s="5">
        <v>15.24</v>
      </c>
      <c r="L7" s="2">
        <v>16.77</v>
      </c>
      <c r="M7" s="2">
        <f t="shared" si="1"/>
        <v>26815.23</v>
      </c>
      <c r="N7">
        <f>I7/K7</f>
        <v>1.2795275590551181</v>
      </c>
    </row>
    <row r="8" spans="1:14">
      <c r="A8" s="2" t="s">
        <v>1</v>
      </c>
      <c r="B8" s="2" t="s">
        <v>3</v>
      </c>
      <c r="C8" s="2">
        <v>24</v>
      </c>
      <c r="D8" s="2"/>
      <c r="E8" s="2">
        <v>1256</v>
      </c>
      <c r="F8" s="2"/>
      <c r="G8" s="2">
        <v>1256</v>
      </c>
      <c r="H8" s="2"/>
      <c r="I8" s="2">
        <v>19.5</v>
      </c>
      <c r="J8" s="5">
        <f t="shared" si="0"/>
        <v>24492</v>
      </c>
      <c r="K8" s="5"/>
      <c r="L8" s="2">
        <v>16.77</v>
      </c>
      <c r="M8" s="2">
        <f t="shared" si="1"/>
        <v>21063.119999999999</v>
      </c>
    </row>
    <row r="9" spans="1:14">
      <c r="A9" s="2" t="s">
        <v>1</v>
      </c>
      <c r="B9" s="2" t="s">
        <v>4</v>
      </c>
      <c r="C9" s="2">
        <v>16</v>
      </c>
      <c r="D9" s="2"/>
      <c r="E9" s="2">
        <v>571.20000000000005</v>
      </c>
      <c r="F9" s="2"/>
      <c r="G9" s="2">
        <v>571.20000000000005</v>
      </c>
      <c r="H9" s="2"/>
      <c r="I9" s="2">
        <v>19.5</v>
      </c>
      <c r="J9" s="5">
        <f t="shared" si="0"/>
        <v>11138.400000000001</v>
      </c>
      <c r="K9" s="5"/>
      <c r="L9" s="2">
        <v>16.77</v>
      </c>
      <c r="M9" s="2">
        <f t="shared" si="1"/>
        <v>9579.0240000000013</v>
      </c>
    </row>
    <row r="10" spans="1:14">
      <c r="A10" s="2" t="s">
        <v>5</v>
      </c>
      <c r="B10" s="2">
        <v>1</v>
      </c>
      <c r="C10" s="2">
        <v>24</v>
      </c>
      <c r="D10" s="2"/>
      <c r="E10" s="2">
        <v>1064.0999999999999</v>
      </c>
      <c r="F10" s="2"/>
      <c r="G10" s="2">
        <v>1064.0999999999999</v>
      </c>
      <c r="H10" s="2"/>
      <c r="I10" s="2">
        <v>19.5</v>
      </c>
      <c r="J10" s="5">
        <f t="shared" si="0"/>
        <v>20749.949999999997</v>
      </c>
      <c r="K10" s="5"/>
      <c r="L10" s="2">
        <v>16.77</v>
      </c>
      <c r="M10" s="2">
        <f t="shared" si="1"/>
        <v>17844.956999999999</v>
      </c>
    </row>
    <row r="11" spans="1:14">
      <c r="A11" s="2" t="s">
        <v>5</v>
      </c>
      <c r="B11" s="2" t="s">
        <v>6</v>
      </c>
      <c r="C11" s="2">
        <v>16</v>
      </c>
      <c r="D11" s="2"/>
      <c r="E11" s="2">
        <v>710.6</v>
      </c>
      <c r="F11" s="2"/>
      <c r="G11" s="2">
        <v>710.6</v>
      </c>
      <c r="H11" s="2"/>
      <c r="I11" s="2">
        <v>19.5</v>
      </c>
      <c r="J11" s="5">
        <f t="shared" si="0"/>
        <v>13856.7</v>
      </c>
      <c r="K11" s="5"/>
      <c r="L11" s="2">
        <v>16.77</v>
      </c>
      <c r="M11" s="2">
        <f t="shared" si="1"/>
        <v>11916.762000000001</v>
      </c>
    </row>
    <row r="12" spans="1:14">
      <c r="A12" s="2" t="s">
        <v>5</v>
      </c>
      <c r="B12" s="2" t="s">
        <v>7</v>
      </c>
      <c r="C12" s="2">
        <v>12</v>
      </c>
      <c r="D12" s="2"/>
      <c r="E12" s="2">
        <v>690.83</v>
      </c>
      <c r="F12" s="2"/>
      <c r="G12" s="2">
        <v>690.83</v>
      </c>
      <c r="H12" s="2"/>
      <c r="I12" s="2">
        <v>19.5</v>
      </c>
      <c r="J12" s="5">
        <f t="shared" si="0"/>
        <v>13471.185000000001</v>
      </c>
      <c r="K12" s="5"/>
      <c r="L12" s="2">
        <v>16.77</v>
      </c>
      <c r="M12" s="2">
        <f t="shared" si="1"/>
        <v>11585.2191</v>
      </c>
    </row>
    <row r="13" spans="1:14">
      <c r="A13" s="2" t="s">
        <v>8</v>
      </c>
      <c r="B13" s="2" t="s">
        <v>9</v>
      </c>
      <c r="C13" s="2">
        <v>19</v>
      </c>
      <c r="D13" s="2"/>
      <c r="E13" s="2">
        <v>935.9</v>
      </c>
      <c r="F13" s="2"/>
      <c r="G13" s="2">
        <v>935.9</v>
      </c>
      <c r="H13" s="2"/>
      <c r="I13" s="2">
        <v>19.5</v>
      </c>
      <c r="J13" s="5">
        <f t="shared" si="0"/>
        <v>18250.05</v>
      </c>
      <c r="K13" s="5"/>
      <c r="L13" s="2">
        <v>16.77</v>
      </c>
      <c r="M13" s="2">
        <f t="shared" si="1"/>
        <v>15695.043</v>
      </c>
    </row>
    <row r="14" spans="1:14">
      <c r="A14" s="2" t="s">
        <v>8</v>
      </c>
      <c r="B14" s="2" t="s">
        <v>10</v>
      </c>
      <c r="C14" s="2">
        <v>19</v>
      </c>
      <c r="D14" s="2"/>
      <c r="E14" s="2">
        <v>846.9</v>
      </c>
      <c r="F14" s="2"/>
      <c r="G14" s="2">
        <v>846.9</v>
      </c>
      <c r="H14" s="2"/>
      <c r="I14" s="2">
        <v>19.5</v>
      </c>
      <c r="J14" s="5">
        <f t="shared" si="0"/>
        <v>16514.55</v>
      </c>
      <c r="K14" s="5"/>
      <c r="L14" s="2">
        <v>16.77</v>
      </c>
      <c r="M14" s="2">
        <f t="shared" si="1"/>
        <v>14202.512999999999</v>
      </c>
    </row>
    <row r="15" spans="1:14">
      <c r="A15" s="2" t="s">
        <v>8</v>
      </c>
      <c r="B15" s="2" t="s">
        <v>11</v>
      </c>
      <c r="C15" s="2">
        <v>18</v>
      </c>
      <c r="D15" s="2"/>
      <c r="E15" s="2">
        <v>899.7</v>
      </c>
      <c r="F15" s="2"/>
      <c r="G15" s="2">
        <v>899.7</v>
      </c>
      <c r="H15" s="2"/>
      <c r="I15" s="2">
        <v>19.5</v>
      </c>
      <c r="J15" s="5">
        <f t="shared" si="0"/>
        <v>17544.150000000001</v>
      </c>
      <c r="K15" s="5"/>
      <c r="L15" s="2">
        <v>16.77</v>
      </c>
      <c r="M15" s="2">
        <f t="shared" si="1"/>
        <v>15087.969000000001</v>
      </c>
    </row>
    <row r="16" spans="1:14">
      <c r="A16" s="2" t="s">
        <v>8</v>
      </c>
      <c r="B16" s="2" t="s">
        <v>12</v>
      </c>
      <c r="C16" s="2">
        <v>17</v>
      </c>
      <c r="D16" s="2"/>
      <c r="E16" s="2">
        <v>911.2</v>
      </c>
      <c r="F16" s="2"/>
      <c r="G16" s="2">
        <v>911.2</v>
      </c>
      <c r="H16" s="2"/>
      <c r="I16" s="2">
        <v>19.5</v>
      </c>
      <c r="J16" s="5">
        <f t="shared" si="0"/>
        <v>17768.400000000001</v>
      </c>
      <c r="K16" s="5"/>
      <c r="L16" s="2">
        <v>16.77</v>
      </c>
      <c r="M16" s="2">
        <f t="shared" si="1"/>
        <v>15280.824000000001</v>
      </c>
    </row>
    <row r="17" spans="1:14">
      <c r="A17" s="2" t="s">
        <v>13</v>
      </c>
      <c r="B17" s="2">
        <v>15</v>
      </c>
      <c r="C17" s="2">
        <v>60</v>
      </c>
      <c r="D17" s="2"/>
      <c r="E17" s="2">
        <v>2600</v>
      </c>
      <c r="F17" s="2">
        <v>2600</v>
      </c>
      <c r="G17" s="2"/>
      <c r="H17" s="2"/>
      <c r="I17" s="2">
        <v>21.8</v>
      </c>
      <c r="J17" s="5">
        <f t="shared" si="0"/>
        <v>56680</v>
      </c>
      <c r="K17" s="5"/>
      <c r="L17" s="2">
        <v>17.57</v>
      </c>
      <c r="M17" s="2">
        <f t="shared" si="1"/>
        <v>45682</v>
      </c>
    </row>
    <row r="18" spans="1:14">
      <c r="A18" s="2" t="s">
        <v>14</v>
      </c>
      <c r="B18" s="2" t="s">
        <v>15</v>
      </c>
      <c r="C18" s="2">
        <v>4</v>
      </c>
      <c r="D18" s="2"/>
      <c r="E18" s="2">
        <v>261.8</v>
      </c>
      <c r="F18" s="2"/>
      <c r="G18" s="2">
        <v>261.8</v>
      </c>
      <c r="H18" s="2"/>
      <c r="I18" s="2">
        <v>19.5</v>
      </c>
      <c r="J18" s="5">
        <f t="shared" si="0"/>
        <v>5105.1000000000004</v>
      </c>
      <c r="K18" s="5"/>
      <c r="L18" s="2">
        <v>15.66</v>
      </c>
      <c r="M18" s="2">
        <f t="shared" si="1"/>
        <v>4099.7880000000005</v>
      </c>
    </row>
    <row r="19" spans="1:14">
      <c r="A19" s="2" t="s">
        <v>16</v>
      </c>
      <c r="B19" s="2" t="s">
        <v>6</v>
      </c>
      <c r="C19" s="2">
        <v>60</v>
      </c>
      <c r="D19" s="2"/>
      <c r="E19" s="2">
        <v>2582.5</v>
      </c>
      <c r="F19" s="2">
        <v>2582.5</v>
      </c>
      <c r="G19" s="2"/>
      <c r="H19" s="2"/>
      <c r="I19" s="2">
        <v>21.8</v>
      </c>
      <c r="J19" s="5">
        <f t="shared" si="0"/>
        <v>56298.5</v>
      </c>
      <c r="K19" s="5">
        <v>15.97</v>
      </c>
      <c r="L19" s="2">
        <v>17.57</v>
      </c>
      <c r="M19" s="2">
        <f t="shared" si="1"/>
        <v>45374.525000000001</v>
      </c>
      <c r="N19">
        <f>I19/K19</f>
        <v>1.3650594865372574</v>
      </c>
    </row>
    <row r="20" spans="1:14">
      <c r="A20" s="2" t="s">
        <v>16</v>
      </c>
      <c r="B20" s="2" t="s">
        <v>9</v>
      </c>
      <c r="C20" s="2">
        <v>60</v>
      </c>
      <c r="D20" s="2"/>
      <c r="E20" s="2">
        <v>2596</v>
      </c>
      <c r="F20" s="2">
        <v>2596</v>
      </c>
      <c r="G20" s="2"/>
      <c r="H20" s="2"/>
      <c r="I20" s="2">
        <v>21.8</v>
      </c>
      <c r="J20" s="5">
        <f t="shared" si="0"/>
        <v>56592.800000000003</v>
      </c>
      <c r="K20" s="5"/>
      <c r="L20" s="2">
        <v>17.57</v>
      </c>
      <c r="M20" s="2">
        <f t="shared" si="1"/>
        <v>45611.72</v>
      </c>
    </row>
    <row r="21" spans="1:14">
      <c r="A21" s="2" t="s">
        <v>17</v>
      </c>
      <c r="B21" s="2" t="s">
        <v>6</v>
      </c>
      <c r="C21" s="2">
        <v>4</v>
      </c>
      <c r="D21" s="2"/>
      <c r="E21" s="2">
        <v>222.4</v>
      </c>
      <c r="F21" s="2"/>
      <c r="G21" s="2"/>
      <c r="H21" s="2">
        <v>222.4</v>
      </c>
      <c r="I21" s="2">
        <v>32.58</v>
      </c>
      <c r="J21" s="5">
        <f t="shared" si="0"/>
        <v>7245.7919999999995</v>
      </c>
      <c r="K21" s="5"/>
      <c r="L21" s="2">
        <v>30.52</v>
      </c>
      <c r="M21" s="2">
        <f t="shared" si="1"/>
        <v>6787.6480000000001</v>
      </c>
    </row>
    <row r="22" spans="1:14">
      <c r="A22" s="2" t="s">
        <v>17</v>
      </c>
      <c r="B22" s="2">
        <v>4</v>
      </c>
      <c r="C22" s="2">
        <v>4</v>
      </c>
      <c r="D22" s="2"/>
      <c r="E22" s="2">
        <v>208.8</v>
      </c>
      <c r="F22" s="2"/>
      <c r="G22" s="2">
        <v>208.8</v>
      </c>
      <c r="H22" s="2"/>
      <c r="I22" s="2">
        <v>19.5</v>
      </c>
      <c r="J22" s="5">
        <f t="shared" si="0"/>
        <v>4071.6000000000004</v>
      </c>
      <c r="K22" s="5"/>
      <c r="L22" s="2">
        <v>16.77</v>
      </c>
      <c r="M22" s="2">
        <f t="shared" si="1"/>
        <v>3501.576</v>
      </c>
    </row>
    <row r="23" spans="1:14">
      <c r="A23" s="2" t="s">
        <v>17</v>
      </c>
      <c r="B23" s="2">
        <v>6</v>
      </c>
      <c r="C23" s="2">
        <v>8</v>
      </c>
      <c r="D23" s="2"/>
      <c r="E23" s="2">
        <v>355.4</v>
      </c>
      <c r="F23" s="2"/>
      <c r="G23" s="2"/>
      <c r="H23" s="2">
        <v>355.4</v>
      </c>
      <c r="I23" s="2">
        <v>32.58</v>
      </c>
      <c r="J23" s="5">
        <f t="shared" si="0"/>
        <v>11578.931999999999</v>
      </c>
      <c r="K23" s="5"/>
      <c r="L23" s="2">
        <v>26.23</v>
      </c>
      <c r="M23" s="2">
        <f t="shared" si="1"/>
        <v>9322.1419999999998</v>
      </c>
    </row>
    <row r="24" spans="1:14">
      <c r="A24" s="2" t="s">
        <v>17</v>
      </c>
      <c r="B24" s="2">
        <v>14</v>
      </c>
      <c r="C24" s="2">
        <v>18</v>
      </c>
      <c r="D24" s="2"/>
      <c r="E24" s="2">
        <v>719.52</v>
      </c>
      <c r="F24" s="2"/>
      <c r="G24" s="2"/>
      <c r="H24" s="2">
        <v>719.52</v>
      </c>
      <c r="I24" s="2">
        <v>32.58</v>
      </c>
      <c r="J24" s="5">
        <f t="shared" si="0"/>
        <v>23441.961599999999</v>
      </c>
      <c r="K24" s="5"/>
      <c r="L24" s="2">
        <v>30.52</v>
      </c>
      <c r="M24" s="2">
        <f t="shared" si="1"/>
        <v>21959.750400000001</v>
      </c>
    </row>
    <row r="25" spans="1:14">
      <c r="A25" s="2" t="s">
        <v>17</v>
      </c>
      <c r="B25" s="2">
        <v>16</v>
      </c>
      <c r="C25" s="2">
        <v>16</v>
      </c>
      <c r="D25" s="2"/>
      <c r="E25" s="2">
        <v>728.2</v>
      </c>
      <c r="F25" s="2"/>
      <c r="G25" s="2"/>
      <c r="H25" s="2">
        <v>728.2</v>
      </c>
      <c r="I25" s="2">
        <v>32.58</v>
      </c>
      <c r="J25" s="5">
        <f t="shared" si="0"/>
        <v>23724.756000000001</v>
      </c>
      <c r="K25" s="5"/>
      <c r="L25" s="2">
        <v>30.52</v>
      </c>
      <c r="M25" s="2">
        <f t="shared" si="1"/>
        <v>22224.664000000001</v>
      </c>
    </row>
    <row r="26" spans="1:14">
      <c r="A26" s="2" t="s">
        <v>17</v>
      </c>
      <c r="B26" s="2">
        <v>18</v>
      </c>
      <c r="C26" s="2">
        <v>16</v>
      </c>
      <c r="D26" s="2"/>
      <c r="E26" s="2">
        <v>738.6</v>
      </c>
      <c r="F26" s="2"/>
      <c r="G26" s="2"/>
      <c r="H26" s="2">
        <v>738.6</v>
      </c>
      <c r="I26" s="2">
        <v>32.58</v>
      </c>
      <c r="J26" s="5">
        <f t="shared" si="0"/>
        <v>24063.588</v>
      </c>
      <c r="K26" s="5"/>
      <c r="L26" s="2">
        <v>30.52</v>
      </c>
      <c r="M26" s="2">
        <f t="shared" si="1"/>
        <v>22542.072</v>
      </c>
    </row>
    <row r="27" spans="1:14">
      <c r="A27" s="2" t="s">
        <v>17</v>
      </c>
      <c r="B27" s="2">
        <v>20</v>
      </c>
      <c r="C27" s="2">
        <v>17</v>
      </c>
      <c r="D27" s="2"/>
      <c r="E27" s="2">
        <v>721.8</v>
      </c>
      <c r="F27" s="2"/>
      <c r="G27" s="2"/>
      <c r="H27" s="2">
        <v>721.8</v>
      </c>
      <c r="I27" s="2">
        <v>32.58</v>
      </c>
      <c r="J27" s="5">
        <f t="shared" si="0"/>
        <v>23516.243999999999</v>
      </c>
      <c r="K27" s="5"/>
      <c r="L27" s="2">
        <v>30.52</v>
      </c>
      <c r="M27" s="2">
        <f t="shared" si="1"/>
        <v>22029.335999999999</v>
      </c>
    </row>
    <row r="28" spans="1:14">
      <c r="A28" s="2" t="s">
        <v>17</v>
      </c>
      <c r="B28" s="2" t="s">
        <v>18</v>
      </c>
      <c r="C28" s="2">
        <v>16</v>
      </c>
      <c r="D28" s="2"/>
      <c r="E28" s="2">
        <v>783.1</v>
      </c>
      <c r="F28" s="2"/>
      <c r="G28" s="2"/>
      <c r="H28" s="2">
        <v>783.1</v>
      </c>
      <c r="I28" s="2">
        <v>32.58</v>
      </c>
      <c r="J28" s="5">
        <f t="shared" si="0"/>
        <v>25513.398000000001</v>
      </c>
      <c r="K28" s="5"/>
      <c r="L28" s="2">
        <v>26.23</v>
      </c>
      <c r="M28" s="2">
        <f t="shared" si="1"/>
        <v>20540.713</v>
      </c>
    </row>
    <row r="29" spans="1:14">
      <c r="A29" s="2" t="s">
        <v>19</v>
      </c>
      <c r="B29" s="2">
        <v>2</v>
      </c>
      <c r="C29" s="2">
        <v>4</v>
      </c>
      <c r="D29" s="2"/>
      <c r="E29" s="2">
        <v>222.1</v>
      </c>
      <c r="F29" s="2"/>
      <c r="G29" s="2"/>
      <c r="H29" s="2">
        <v>222.1</v>
      </c>
      <c r="I29" s="2">
        <v>32.58</v>
      </c>
      <c r="J29" s="5">
        <f t="shared" si="0"/>
        <v>7236.0179999999991</v>
      </c>
      <c r="K29" s="5"/>
      <c r="L29" s="2">
        <v>16.77</v>
      </c>
      <c r="M29" s="2">
        <f t="shared" si="1"/>
        <v>3724.6169999999997</v>
      </c>
    </row>
    <row r="30" spans="1:14">
      <c r="A30" s="2" t="s">
        <v>19</v>
      </c>
      <c r="B30" s="2" t="s">
        <v>6</v>
      </c>
      <c r="C30" s="2">
        <v>120</v>
      </c>
      <c r="D30" s="2"/>
      <c r="E30" s="2">
        <v>5120.2</v>
      </c>
      <c r="F30" s="2">
        <v>5120.2</v>
      </c>
      <c r="G30" s="2"/>
      <c r="H30" s="2"/>
      <c r="I30" s="2">
        <v>21.8</v>
      </c>
      <c r="J30" s="5">
        <f t="shared" si="0"/>
        <v>111620.36</v>
      </c>
      <c r="K30" s="5"/>
      <c r="L30" s="2">
        <v>17.57</v>
      </c>
      <c r="M30" s="2">
        <f t="shared" si="1"/>
        <v>89961.914000000004</v>
      </c>
    </row>
    <row r="31" spans="1:14">
      <c r="A31" s="2" t="s">
        <v>19</v>
      </c>
      <c r="B31" s="2" t="s">
        <v>9</v>
      </c>
      <c r="C31" s="2">
        <v>59</v>
      </c>
      <c r="D31" s="2"/>
      <c r="E31" s="2">
        <v>2514.5</v>
      </c>
      <c r="F31" s="2">
        <v>2514.5</v>
      </c>
      <c r="G31" s="2"/>
      <c r="H31" s="2"/>
      <c r="I31" s="2">
        <v>21.8</v>
      </c>
      <c r="J31" s="5">
        <f t="shared" si="0"/>
        <v>54816.1</v>
      </c>
      <c r="K31" s="5"/>
      <c r="L31" s="2">
        <v>17.57</v>
      </c>
      <c r="M31" s="2">
        <f t="shared" si="1"/>
        <v>44179.764999999999</v>
      </c>
    </row>
    <row r="32" spans="1:14">
      <c r="A32" s="2" t="s">
        <v>19</v>
      </c>
      <c r="B32" s="2" t="s">
        <v>11</v>
      </c>
      <c r="C32" s="2">
        <v>60</v>
      </c>
      <c r="D32" s="2"/>
      <c r="E32" s="2">
        <v>2564.1999999999998</v>
      </c>
      <c r="F32" s="2">
        <v>2564.1999999999998</v>
      </c>
      <c r="G32" s="2"/>
      <c r="H32" s="2"/>
      <c r="I32" s="2">
        <v>21.8</v>
      </c>
      <c r="J32" s="5">
        <f t="shared" si="0"/>
        <v>55899.56</v>
      </c>
      <c r="K32" s="5"/>
      <c r="L32" s="2">
        <v>17.57</v>
      </c>
      <c r="M32" s="2">
        <f t="shared" si="1"/>
        <v>45052.993999999999</v>
      </c>
    </row>
    <row r="33" spans="1:17">
      <c r="A33" s="2" t="s">
        <v>19</v>
      </c>
      <c r="B33" s="2" t="s">
        <v>7</v>
      </c>
      <c r="C33" s="2">
        <v>62</v>
      </c>
      <c r="D33" s="2"/>
      <c r="E33" s="2">
        <v>2637.5</v>
      </c>
      <c r="F33" s="2">
        <v>2637.5</v>
      </c>
      <c r="G33" s="2"/>
      <c r="H33" s="2"/>
      <c r="I33" s="2">
        <v>21.8</v>
      </c>
      <c r="J33" s="5">
        <f t="shared" si="0"/>
        <v>57497.5</v>
      </c>
      <c r="K33" s="5"/>
      <c r="L33" s="2">
        <v>17.57</v>
      </c>
      <c r="M33" s="2">
        <f t="shared" si="1"/>
        <v>46340.875</v>
      </c>
    </row>
    <row r="34" spans="1:17">
      <c r="A34" s="2" t="s">
        <v>19</v>
      </c>
      <c r="B34" s="2" t="s">
        <v>20</v>
      </c>
      <c r="C34" s="2">
        <v>114</v>
      </c>
      <c r="D34" s="2"/>
      <c r="E34" s="2">
        <v>2334.8000000000002</v>
      </c>
      <c r="F34" s="2">
        <v>2334.8000000000002</v>
      </c>
      <c r="G34" s="2"/>
      <c r="H34" s="2"/>
      <c r="I34" s="2">
        <v>21.8</v>
      </c>
      <c r="J34" s="5">
        <f t="shared" si="0"/>
        <v>50898.640000000007</v>
      </c>
      <c r="K34" s="5"/>
      <c r="L34" s="2">
        <v>17.57</v>
      </c>
      <c r="M34" s="2">
        <f t="shared" si="1"/>
        <v>41022.436000000002</v>
      </c>
      <c r="N34">
        <v>32.58</v>
      </c>
      <c r="O34">
        <f>N34*E34</f>
        <v>76067.784</v>
      </c>
    </row>
    <row r="35" spans="1:17">
      <c r="A35" s="2" t="s">
        <v>19</v>
      </c>
      <c r="B35" s="2" t="s">
        <v>21</v>
      </c>
      <c r="C35" s="2">
        <v>122</v>
      </c>
      <c r="D35" s="2"/>
      <c r="E35" s="2">
        <v>2348.9</v>
      </c>
      <c r="F35" s="2">
        <v>2348.9</v>
      </c>
      <c r="G35" s="2"/>
      <c r="H35" s="2"/>
      <c r="I35" s="2">
        <v>21.8</v>
      </c>
      <c r="J35" s="5">
        <f t="shared" si="0"/>
        <v>51206.020000000004</v>
      </c>
      <c r="K35" s="5"/>
      <c r="L35" s="2">
        <v>17.57</v>
      </c>
      <c r="M35" s="2">
        <f t="shared" si="1"/>
        <v>41270.173000000003</v>
      </c>
      <c r="N35">
        <v>32.58</v>
      </c>
      <c r="O35">
        <f>N35*E35</f>
        <v>76527.161999999997</v>
      </c>
    </row>
    <row r="36" spans="1:17">
      <c r="A36" s="2" t="s">
        <v>19</v>
      </c>
      <c r="B36" s="2" t="s">
        <v>3</v>
      </c>
      <c r="C36" s="2">
        <v>60</v>
      </c>
      <c r="D36" s="2"/>
      <c r="E36" s="2">
        <v>3230.36</v>
      </c>
      <c r="F36" s="2">
        <v>3230.36</v>
      </c>
      <c r="G36" s="2"/>
      <c r="H36" s="2"/>
      <c r="I36" s="2">
        <v>21.8</v>
      </c>
      <c r="J36" s="5">
        <f t="shared" si="0"/>
        <v>70421.847999999998</v>
      </c>
      <c r="K36" s="5"/>
      <c r="L36" s="2">
        <v>17.57</v>
      </c>
      <c r="M36" s="2">
        <f t="shared" si="1"/>
        <v>56757.425200000005</v>
      </c>
    </row>
    <row r="37" spans="1:17">
      <c r="A37" s="2" t="s">
        <v>19</v>
      </c>
      <c r="B37" s="2" t="s">
        <v>22</v>
      </c>
      <c r="C37" s="2">
        <v>70</v>
      </c>
      <c r="D37" s="2"/>
      <c r="E37" s="2">
        <v>2360.1</v>
      </c>
      <c r="F37" s="2">
        <v>2360.1</v>
      </c>
      <c r="G37" s="2"/>
      <c r="H37" s="2"/>
      <c r="I37" s="2">
        <v>21.8</v>
      </c>
      <c r="J37" s="5">
        <f t="shared" si="0"/>
        <v>51450.18</v>
      </c>
      <c r="K37" s="5"/>
      <c r="L37" s="2">
        <v>17.57</v>
      </c>
      <c r="M37" s="2">
        <f t="shared" si="1"/>
        <v>41466.957000000002</v>
      </c>
    </row>
    <row r="38" spans="1:17">
      <c r="A38" s="2" t="s">
        <v>23</v>
      </c>
      <c r="B38" s="2" t="s">
        <v>24</v>
      </c>
      <c r="C38" s="2">
        <v>24</v>
      </c>
      <c r="D38" s="2"/>
      <c r="E38" s="2">
        <v>1236.4000000000001</v>
      </c>
      <c r="F38" s="2"/>
      <c r="G38" s="2"/>
      <c r="H38" s="2">
        <v>1236.4000000000001</v>
      </c>
      <c r="I38" s="5">
        <v>32.58</v>
      </c>
      <c r="J38" s="5">
        <f t="shared" si="0"/>
        <v>40281.912000000004</v>
      </c>
      <c r="K38" s="5"/>
      <c r="L38" s="2">
        <v>30.52</v>
      </c>
      <c r="M38" s="2">
        <f t="shared" si="1"/>
        <v>37734.928</v>
      </c>
    </row>
    <row r="39" spans="1:17">
      <c r="A39" s="3" t="s">
        <v>33</v>
      </c>
      <c r="B39" s="3"/>
      <c r="C39" s="3">
        <v>1902</v>
      </c>
      <c r="D39" s="3"/>
      <c r="E39" s="3">
        <f>SUM(E5:E38)</f>
        <v>48190.810000000005</v>
      </c>
      <c r="F39" s="3">
        <f>SUM(F5:F38)</f>
        <v>30889.06</v>
      </c>
      <c r="G39" s="3">
        <f>SUM(G5:G38)</f>
        <v>9956.0299999999988</v>
      </c>
      <c r="H39" s="3">
        <f>SUM(H5:H38)</f>
        <v>7345.7200000000012</v>
      </c>
      <c r="I39" s="2"/>
      <c r="J39" s="5">
        <f>SUM(J5:J38)</f>
        <v>1106847.6506000001</v>
      </c>
      <c r="K39" s="5"/>
      <c r="L39" s="2"/>
      <c r="M39" s="2">
        <f>SUM(M5:M38)</f>
        <v>925646.14370000002</v>
      </c>
      <c r="O39">
        <f>SUM(O34:O38)</f>
        <v>152594.946</v>
      </c>
      <c r="Q39">
        <f>M39+O39</f>
        <v>1078241.0896999999</v>
      </c>
    </row>
    <row r="40" spans="1:17">
      <c r="F40">
        <f>F39*18.85*12/1000</f>
        <v>6987.1053720000018</v>
      </c>
      <c r="G40">
        <f>G39*17.83*12/1000</f>
        <v>2130.1921787999995</v>
      </c>
      <c r="H40">
        <f>H39*30.24*12/1000</f>
        <v>2665.6148736000005</v>
      </c>
      <c r="J40">
        <v>1187421.55</v>
      </c>
    </row>
    <row r="41" spans="1:17">
      <c r="H41">
        <f>F40+G40+H40</f>
        <v>11782.912424400001</v>
      </c>
      <c r="J41" s="4">
        <f>J39-J40</f>
        <v>-80573.899399999995</v>
      </c>
      <c r="K41" s="4"/>
    </row>
    <row r="42" spans="1:17">
      <c r="J42">
        <f>J39*12</f>
        <v>13282171.8072</v>
      </c>
    </row>
    <row r="43" spans="1:17">
      <c r="A43" t="s">
        <v>34</v>
      </c>
      <c r="C43">
        <f>F39</f>
        <v>30889.06</v>
      </c>
      <c r="J43">
        <v>1053641</v>
      </c>
    </row>
    <row r="44" spans="1:17">
      <c r="A44" t="s">
        <v>35</v>
      </c>
      <c r="C44">
        <f>G39</f>
        <v>9956.0299999999988</v>
      </c>
      <c r="J44">
        <v>13275885</v>
      </c>
    </row>
    <row r="45" spans="1:17">
      <c r="A45" t="s">
        <v>36</v>
      </c>
      <c r="C45">
        <f>H39</f>
        <v>7345.7200000000012</v>
      </c>
      <c r="J45">
        <f>J42-J44</f>
        <v>6286.8071999996901</v>
      </c>
    </row>
    <row r="46" spans="1:17">
      <c r="A46" t="s">
        <v>46</v>
      </c>
      <c r="C46">
        <v>783.1</v>
      </c>
    </row>
    <row r="48" spans="1:17">
      <c r="A48" t="s">
        <v>40</v>
      </c>
      <c r="C48">
        <f>C43+E38</f>
        <v>32125.460000000003</v>
      </c>
    </row>
    <row r="51" spans="1:10">
      <c r="A51" t="s">
        <v>41</v>
      </c>
      <c r="C51">
        <v>8477.7000000000007</v>
      </c>
      <c r="H51">
        <v>92</v>
      </c>
      <c r="I51">
        <f>(15383.4/12-209.8)/(48190.81+962.3)*1000</f>
        <v>21.812455000304155</v>
      </c>
    </row>
    <row r="52" spans="1:10">
      <c r="A52" t="s">
        <v>42</v>
      </c>
      <c r="C52">
        <f>658.84-52.9</f>
        <v>605.94000000000005</v>
      </c>
      <c r="E52">
        <f>C52/C45/7*1000</f>
        <v>11.784121521492398</v>
      </c>
      <c r="G52">
        <f>C52*1.18</f>
        <v>715.00920000000008</v>
      </c>
      <c r="H52">
        <f>G52/7</f>
        <v>102.14417142857144</v>
      </c>
    </row>
    <row r="53" spans="1:10">
      <c r="A53" t="s">
        <v>45</v>
      </c>
      <c r="C53">
        <v>52.9</v>
      </c>
      <c r="E53">
        <f>C53*1000/C46/7</f>
        <v>9.6502909681303244</v>
      </c>
      <c r="G53">
        <f>C53*1.18</f>
        <v>62.421999999999997</v>
      </c>
      <c r="H53">
        <f>G53/7</f>
        <v>8.9174285714285713</v>
      </c>
    </row>
    <row r="54" spans="1:10">
      <c r="A54" t="s">
        <v>43</v>
      </c>
      <c r="C54">
        <f>(409.8+145.2)+14*7</f>
        <v>653</v>
      </c>
      <c r="E54">
        <f>C54*1000/E39/7</f>
        <v>1.93575734223422</v>
      </c>
      <c r="H54">
        <f>0.25*7.8*1.12*1.342</f>
        <v>2.9309280000000002</v>
      </c>
    </row>
    <row r="55" spans="1:10">
      <c r="A55" t="s">
        <v>47</v>
      </c>
      <c r="C55">
        <v>759.11</v>
      </c>
      <c r="E55">
        <f>C55*1000/C48/7</f>
        <v>3.3756492736379715</v>
      </c>
      <c r="G55">
        <f>10*7.8*1.12*1.342</f>
        <v>117.23712000000002</v>
      </c>
      <c r="H55">
        <f>G55*1000/C43</f>
        <v>3.7954253059173708</v>
      </c>
    </row>
    <row r="56" spans="1:10">
      <c r="H56">
        <f>SUM(H51:H55)</f>
        <v>209.78795330591737</v>
      </c>
    </row>
    <row r="57" spans="1:10" ht="53.25" customHeight="1">
      <c r="C57" s="53" t="s">
        <v>123</v>
      </c>
      <c r="D57" s="53"/>
      <c r="E57" s="53"/>
    </row>
    <row r="58" spans="1:10" ht="53.25" customHeight="1">
      <c r="C58" s="85" t="s">
        <v>158</v>
      </c>
      <c r="D58" s="85"/>
      <c r="E58" s="85"/>
    </row>
    <row r="59" spans="1:10" ht="53.25" customHeight="1">
      <c r="A59" s="70" t="s">
        <v>145</v>
      </c>
      <c r="B59" s="70"/>
      <c r="C59" s="70"/>
      <c r="D59" s="70"/>
      <c r="E59" s="70"/>
    </row>
    <row r="60" spans="1:10" ht="84" customHeight="1">
      <c r="A60" s="10" t="s">
        <v>141</v>
      </c>
      <c r="B60" s="16" t="s">
        <v>142</v>
      </c>
      <c r="C60" s="10" t="s">
        <v>143</v>
      </c>
      <c r="D60" s="10" t="s">
        <v>148</v>
      </c>
      <c r="E60" s="10" t="s">
        <v>144</v>
      </c>
    </row>
    <row r="61" spans="1:10">
      <c r="A61" s="71" t="s">
        <v>52</v>
      </c>
      <c r="B61" s="2" t="s">
        <v>49</v>
      </c>
      <c r="C61" s="2"/>
      <c r="D61" s="2"/>
      <c r="E61" s="30">
        <v>14.78</v>
      </c>
      <c r="F61" s="4"/>
    </row>
    <row r="62" spans="1:10">
      <c r="A62" s="72"/>
      <c r="B62" s="2" t="s">
        <v>121</v>
      </c>
      <c r="C62" s="2"/>
      <c r="D62" s="2"/>
      <c r="E62" s="29">
        <v>2.74</v>
      </c>
      <c r="F62" s="4"/>
      <c r="G62">
        <v>1.94</v>
      </c>
      <c r="I62">
        <f>2.41+3.41+9.17+0.31+1.68</f>
        <v>16.98</v>
      </c>
      <c r="J62" t="s">
        <v>61</v>
      </c>
    </row>
    <row r="63" spans="1:10">
      <c r="A63" s="72"/>
      <c r="B63" s="2" t="s">
        <v>122</v>
      </c>
      <c r="C63" s="2"/>
      <c r="D63" s="2">
        <v>0.31</v>
      </c>
      <c r="E63" s="29">
        <v>0.31</v>
      </c>
      <c r="F63" s="4"/>
    </row>
    <row r="64" spans="1:10">
      <c r="A64" s="73"/>
      <c r="B64" s="2"/>
      <c r="C64" s="3">
        <v>15.24</v>
      </c>
      <c r="D64" s="3">
        <f>C64*1.2+0.31</f>
        <v>18.597999999999999</v>
      </c>
      <c r="E64" s="34">
        <f>SUM(E61:E63)</f>
        <v>17.829999999999998</v>
      </c>
      <c r="F64" s="4">
        <f>E64/C64</f>
        <v>1.1699475065616796</v>
      </c>
      <c r="G64">
        <f>D64/C64</f>
        <v>1.2203412073490814</v>
      </c>
      <c r="I64">
        <v>1.94</v>
      </c>
      <c r="J64" t="s">
        <v>43</v>
      </c>
    </row>
    <row r="66" spans="1:10" ht="53.25" customHeight="1">
      <c r="A66" s="39"/>
      <c r="B66" s="54" t="s">
        <v>158</v>
      </c>
      <c r="C66" s="54"/>
      <c r="D66" s="54"/>
      <c r="E66" s="54"/>
    </row>
    <row r="67" spans="1:10" ht="53.25" customHeight="1">
      <c r="A67" s="55" t="s">
        <v>145</v>
      </c>
      <c r="B67" s="55"/>
      <c r="C67" s="55"/>
      <c r="D67" s="55"/>
      <c r="E67" s="55"/>
    </row>
    <row r="68" spans="1:10" ht="97.5" customHeight="1">
      <c r="A68" s="40" t="s">
        <v>141</v>
      </c>
      <c r="B68" s="41" t="s">
        <v>142</v>
      </c>
      <c r="C68" s="40" t="s">
        <v>170</v>
      </c>
      <c r="D68" s="40" t="s">
        <v>171</v>
      </c>
      <c r="E68" s="40" t="s">
        <v>144</v>
      </c>
      <c r="J68">
        <v>571.01</v>
      </c>
    </row>
    <row r="69" spans="1:10" ht="15.75">
      <c r="A69" s="56" t="s">
        <v>183</v>
      </c>
      <c r="B69" s="42" t="s">
        <v>165</v>
      </c>
      <c r="C69" s="48">
        <f>C72-C71-C70</f>
        <v>106550.466</v>
      </c>
      <c r="D69" s="42">
        <f>C69/J68/12</f>
        <v>15.549999999999999</v>
      </c>
      <c r="E69" s="43">
        <v>14.78</v>
      </c>
      <c r="F69" s="4"/>
      <c r="J69" t="s">
        <v>120</v>
      </c>
    </row>
    <row r="70" spans="1:10" ht="15.75">
      <c r="A70" s="57"/>
      <c r="B70" s="42" t="s">
        <v>172</v>
      </c>
      <c r="C70" s="48">
        <f>D70*J68*12</f>
        <v>18774.808800000003</v>
      </c>
      <c r="D70" s="42">
        <v>2.74</v>
      </c>
      <c r="E70" s="44">
        <v>2.74</v>
      </c>
      <c r="F70" s="4"/>
      <c r="G70">
        <v>1.94</v>
      </c>
      <c r="I70">
        <v>18.850000000000001</v>
      </c>
    </row>
    <row r="71" spans="1:10" ht="15.75">
      <c r="A71" s="57"/>
      <c r="B71" s="42" t="s">
        <v>174</v>
      </c>
      <c r="C71" s="48">
        <f>J68*12*D71</f>
        <v>2124.1572000000001</v>
      </c>
      <c r="D71" s="42">
        <v>0.31</v>
      </c>
      <c r="E71" s="43">
        <v>0.31</v>
      </c>
      <c r="F71" s="4"/>
    </row>
    <row r="72" spans="1:10" ht="15.75">
      <c r="A72" s="58"/>
      <c r="B72" s="42"/>
      <c r="C72" s="49">
        <f>J68*12*D72</f>
        <v>127449.432</v>
      </c>
      <c r="D72" s="45">
        <v>18.600000000000001</v>
      </c>
      <c r="E72" s="46">
        <f>SUM(E69:E71)</f>
        <v>17.829999999999998</v>
      </c>
      <c r="F72" s="4">
        <f>E72/C72</f>
        <v>1.3989862269452873E-4</v>
      </c>
      <c r="G72">
        <f>D72/C72</f>
        <v>1.4594023455514498E-4</v>
      </c>
    </row>
    <row r="73" spans="1:10" ht="15.75">
      <c r="A73" s="39"/>
      <c r="B73" s="39"/>
      <c r="C73" s="39"/>
      <c r="D73" s="39"/>
      <c r="E73" s="39"/>
    </row>
    <row r="74" spans="1:10" ht="15.75">
      <c r="A74" s="59" t="s">
        <v>125</v>
      </c>
      <c r="B74" s="59"/>
      <c r="C74" s="59"/>
      <c r="D74" s="59"/>
      <c r="E74" s="59"/>
      <c r="G74">
        <v>1053640</v>
      </c>
    </row>
    <row r="75" spans="1:10" ht="22.5" customHeight="1">
      <c r="A75" s="50" t="s">
        <v>159</v>
      </c>
      <c r="B75" s="50"/>
      <c r="C75" s="50"/>
      <c r="D75" s="50"/>
      <c r="E75" s="50"/>
    </row>
    <row r="76" spans="1:10" ht="15.75">
      <c r="A76" s="50" t="s">
        <v>160</v>
      </c>
      <c r="B76" s="50"/>
      <c r="C76" s="50"/>
      <c r="D76" s="50"/>
      <c r="E76" s="50"/>
    </row>
    <row r="77" spans="1:10" ht="15.75">
      <c r="A77" s="50" t="s">
        <v>161</v>
      </c>
      <c r="B77" s="50"/>
      <c r="C77" s="50"/>
      <c r="D77" s="50"/>
      <c r="E77" s="50"/>
    </row>
    <row r="78" spans="1:10" ht="15.75">
      <c r="A78" s="50" t="s">
        <v>162</v>
      </c>
      <c r="B78" s="50"/>
      <c r="C78" s="50"/>
      <c r="D78" s="50"/>
      <c r="E78" s="50"/>
    </row>
    <row r="79" spans="1:10" ht="25.5" customHeight="1">
      <c r="A79" s="50" t="s">
        <v>163</v>
      </c>
      <c r="B79" s="50"/>
      <c r="C79" s="50"/>
      <c r="D79" s="50"/>
      <c r="E79" s="50"/>
    </row>
    <row r="80" spans="1:10" ht="15.75">
      <c r="A80" s="50" t="s">
        <v>164</v>
      </c>
      <c r="B80" s="50"/>
      <c r="C80" s="50"/>
      <c r="D80" s="50"/>
      <c r="E80" s="50"/>
    </row>
    <row r="81" spans="1:7" ht="32.25" customHeight="1">
      <c r="A81" s="50" t="s">
        <v>185</v>
      </c>
      <c r="B81" s="50"/>
      <c r="C81" s="50"/>
      <c r="D81" s="50"/>
      <c r="E81" s="50"/>
    </row>
    <row r="82" spans="1:7" ht="33" customHeight="1">
      <c r="A82" s="50" t="s">
        <v>186</v>
      </c>
      <c r="B82" s="50"/>
      <c r="C82" s="50"/>
      <c r="D82" s="50"/>
      <c r="E82" s="50"/>
    </row>
    <row r="83" spans="1:7" ht="15.75">
      <c r="A83" s="47"/>
      <c r="B83" s="47"/>
      <c r="C83" s="47"/>
      <c r="D83" s="47"/>
      <c r="E83" s="47"/>
    </row>
    <row r="84" spans="1:7" ht="15.75">
      <c r="A84" s="51" t="s">
        <v>169</v>
      </c>
      <c r="B84" s="51"/>
      <c r="C84" s="51"/>
      <c r="D84" s="51"/>
      <c r="E84" s="51"/>
    </row>
    <row r="85" spans="1:7" ht="15.75">
      <c r="A85" s="51"/>
      <c r="B85" s="51"/>
      <c r="C85" s="51"/>
      <c r="D85" s="51"/>
      <c r="E85" s="51"/>
    </row>
    <row r="86" spans="1:7">
      <c r="A86" t="s">
        <v>55</v>
      </c>
      <c r="E86">
        <v>2280000</v>
      </c>
      <c r="F86">
        <v>32125.46</v>
      </c>
      <c r="G86">
        <f>E86/F86/12</f>
        <v>5.9143121997319268</v>
      </c>
    </row>
    <row r="87" spans="1:7">
      <c r="B87" t="e">
        <f>#REF!/#REF!/12</f>
        <v>#REF!</v>
      </c>
      <c r="G87" t="s">
        <v>89</v>
      </c>
    </row>
    <row r="88" spans="1:7">
      <c r="A88" t="s">
        <v>58</v>
      </c>
    </row>
    <row r="90" spans="1:7">
      <c r="A90" t="s">
        <v>57</v>
      </c>
    </row>
    <row r="91" spans="1:7">
      <c r="B91">
        <v>29.61</v>
      </c>
    </row>
  </sheetData>
  <mergeCells count="24">
    <mergeCell ref="A79:E79"/>
    <mergeCell ref="A80:E80"/>
    <mergeCell ref="A81:E81"/>
    <mergeCell ref="A82:E82"/>
    <mergeCell ref="A85:E85"/>
    <mergeCell ref="A84:E84"/>
    <mergeCell ref="A69:A72"/>
    <mergeCell ref="A74:E74"/>
    <mergeCell ref="A75:E75"/>
    <mergeCell ref="A76:E76"/>
    <mergeCell ref="A77:E77"/>
    <mergeCell ref="A78:E78"/>
    <mergeCell ref="C57:E57"/>
    <mergeCell ref="C58:E58"/>
    <mergeCell ref="A59:E59"/>
    <mergeCell ref="A61:A64"/>
    <mergeCell ref="B66:E66"/>
    <mergeCell ref="A67:E67"/>
    <mergeCell ref="A3:A4"/>
    <mergeCell ref="B3:B4"/>
    <mergeCell ref="C3:C4"/>
    <mergeCell ref="E3:G3"/>
    <mergeCell ref="I3:I4"/>
    <mergeCell ref="J3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1"/>
  <sheetViews>
    <sheetView topLeftCell="A64" workbookViewId="0">
      <selection activeCell="A66" sqref="A66:E84"/>
    </sheetView>
  </sheetViews>
  <sheetFormatPr defaultRowHeight="15"/>
  <cols>
    <col min="1" max="1" width="19.5703125" customWidth="1"/>
    <col min="2" max="2" width="25" customWidth="1"/>
    <col min="3" max="3" width="14.7109375" customWidth="1"/>
    <col min="4" max="4" width="13.5703125" customWidth="1"/>
    <col min="5" max="5" width="11" bestFit="1" customWidth="1"/>
    <col min="10" max="10" width="25.42578125" customWidth="1"/>
    <col min="11" max="11" width="12.42578125" customWidth="1"/>
  </cols>
  <sheetData>
    <row r="1" spans="1:14">
      <c r="B1" t="s">
        <v>25</v>
      </c>
    </row>
    <row r="2" spans="1:14">
      <c r="A2" t="s">
        <v>26</v>
      </c>
      <c r="I2" t="s">
        <v>94</v>
      </c>
    </row>
    <row r="3" spans="1:14">
      <c r="A3" s="60" t="s">
        <v>27</v>
      </c>
      <c r="B3" s="60" t="s">
        <v>28</v>
      </c>
      <c r="C3" s="60" t="s">
        <v>29</v>
      </c>
      <c r="D3" s="37"/>
      <c r="E3" s="63" t="s">
        <v>30</v>
      </c>
      <c r="F3" s="63"/>
      <c r="G3" s="63"/>
      <c r="H3" s="38" t="s">
        <v>32</v>
      </c>
      <c r="I3" s="64" t="s">
        <v>59</v>
      </c>
      <c r="J3" s="64" t="s">
        <v>60</v>
      </c>
      <c r="K3" s="15"/>
    </row>
    <row r="4" spans="1:14">
      <c r="A4" s="60"/>
      <c r="B4" s="60"/>
      <c r="C4" s="60"/>
      <c r="D4" s="37"/>
      <c r="E4" s="38" t="s">
        <v>31</v>
      </c>
      <c r="F4" s="38" t="s">
        <v>37</v>
      </c>
      <c r="G4" s="38" t="s">
        <v>38</v>
      </c>
      <c r="H4" s="38" t="s">
        <v>39</v>
      </c>
      <c r="I4" s="65"/>
      <c r="J4" s="65"/>
      <c r="K4" s="15"/>
      <c r="L4" s="6">
        <v>0.1</v>
      </c>
    </row>
    <row r="5" spans="1:14">
      <c r="A5" s="2" t="s">
        <v>0</v>
      </c>
      <c r="B5" s="2">
        <v>1</v>
      </c>
      <c r="C5" s="2">
        <v>16</v>
      </c>
      <c r="D5" s="2"/>
      <c r="E5" s="2">
        <v>739</v>
      </c>
      <c r="F5" s="2"/>
      <c r="G5" s="2"/>
      <c r="H5" s="2">
        <v>739</v>
      </c>
      <c r="I5" s="5">
        <v>32.58</v>
      </c>
      <c r="J5" s="5">
        <f>I5*E5</f>
        <v>24076.62</v>
      </c>
      <c r="K5" s="5">
        <v>27.74</v>
      </c>
      <c r="L5" s="2">
        <v>30.52</v>
      </c>
      <c r="M5" s="2">
        <f>L5*E5</f>
        <v>22554.28</v>
      </c>
      <c r="N5">
        <f>I5/K5</f>
        <v>1.174477289113194</v>
      </c>
    </row>
    <row r="6" spans="1:14">
      <c r="A6" s="2" t="s">
        <v>0</v>
      </c>
      <c r="B6" s="2">
        <v>2</v>
      </c>
      <c r="C6" s="2">
        <v>18</v>
      </c>
      <c r="D6" s="2"/>
      <c r="E6" s="2">
        <v>879.2</v>
      </c>
      <c r="F6" s="2"/>
      <c r="G6" s="2"/>
      <c r="H6" s="2">
        <v>879.2</v>
      </c>
      <c r="I6" s="2">
        <v>32.58</v>
      </c>
      <c r="J6" s="5">
        <f t="shared" ref="J6:J38" si="0">I6*E6</f>
        <v>28644.335999999999</v>
      </c>
      <c r="K6" s="5"/>
      <c r="L6" s="2">
        <v>30.52</v>
      </c>
      <c r="M6" s="2">
        <f t="shared" ref="M6:M38" si="1">L6*E6</f>
        <v>26833.184000000001</v>
      </c>
    </row>
    <row r="7" spans="1:14">
      <c r="A7" s="2" t="s">
        <v>1</v>
      </c>
      <c r="B7" s="2" t="s">
        <v>2</v>
      </c>
      <c r="C7" s="2">
        <v>25</v>
      </c>
      <c r="D7" s="2"/>
      <c r="E7" s="2">
        <v>1599</v>
      </c>
      <c r="F7" s="2"/>
      <c r="G7" s="2">
        <v>1599</v>
      </c>
      <c r="H7" s="2"/>
      <c r="I7" s="2">
        <v>19.5</v>
      </c>
      <c r="J7" s="5">
        <f t="shared" si="0"/>
        <v>31180.5</v>
      </c>
      <c r="K7" s="5">
        <v>15.24</v>
      </c>
      <c r="L7" s="2">
        <v>16.77</v>
      </c>
      <c r="M7" s="2">
        <f t="shared" si="1"/>
        <v>26815.23</v>
      </c>
      <c r="N7">
        <f>I7/K7</f>
        <v>1.2795275590551181</v>
      </c>
    </row>
    <row r="8" spans="1:14">
      <c r="A8" s="2" t="s">
        <v>1</v>
      </c>
      <c r="B8" s="2" t="s">
        <v>3</v>
      </c>
      <c r="C8" s="2">
        <v>24</v>
      </c>
      <c r="D8" s="2"/>
      <c r="E8" s="2">
        <v>1256</v>
      </c>
      <c r="F8" s="2"/>
      <c r="G8" s="2">
        <v>1256</v>
      </c>
      <c r="H8" s="2"/>
      <c r="I8" s="2">
        <v>19.5</v>
      </c>
      <c r="J8" s="5">
        <f t="shared" si="0"/>
        <v>24492</v>
      </c>
      <c r="K8" s="5"/>
      <c r="L8" s="2">
        <v>16.77</v>
      </c>
      <c r="M8" s="2">
        <f t="shared" si="1"/>
        <v>21063.119999999999</v>
      </c>
    </row>
    <row r="9" spans="1:14">
      <c r="A9" s="2" t="s">
        <v>1</v>
      </c>
      <c r="B9" s="2" t="s">
        <v>4</v>
      </c>
      <c r="C9" s="2">
        <v>16</v>
      </c>
      <c r="D9" s="2"/>
      <c r="E9" s="2">
        <v>571.20000000000005</v>
      </c>
      <c r="F9" s="2"/>
      <c r="G9" s="2">
        <v>571.20000000000005</v>
      </c>
      <c r="H9" s="2"/>
      <c r="I9" s="2">
        <v>19.5</v>
      </c>
      <c r="J9" s="5">
        <f t="shared" si="0"/>
        <v>11138.400000000001</v>
      </c>
      <c r="K9" s="5"/>
      <c r="L9" s="2">
        <v>16.77</v>
      </c>
      <c r="M9" s="2">
        <f t="shared" si="1"/>
        <v>9579.0240000000013</v>
      </c>
    </row>
    <row r="10" spans="1:14">
      <c r="A10" s="2" t="s">
        <v>5</v>
      </c>
      <c r="B10" s="2">
        <v>1</v>
      </c>
      <c r="C10" s="2">
        <v>24</v>
      </c>
      <c r="D10" s="2"/>
      <c r="E10" s="2">
        <v>1064.0999999999999</v>
      </c>
      <c r="F10" s="2"/>
      <c r="G10" s="2">
        <v>1064.0999999999999</v>
      </c>
      <c r="H10" s="2"/>
      <c r="I10" s="2">
        <v>19.5</v>
      </c>
      <c r="J10" s="5">
        <f t="shared" si="0"/>
        <v>20749.949999999997</v>
      </c>
      <c r="K10" s="5"/>
      <c r="L10" s="2">
        <v>16.77</v>
      </c>
      <c r="M10" s="2">
        <f t="shared" si="1"/>
        <v>17844.956999999999</v>
      </c>
    </row>
    <row r="11" spans="1:14">
      <c r="A11" s="2" t="s">
        <v>5</v>
      </c>
      <c r="B11" s="2" t="s">
        <v>6</v>
      </c>
      <c r="C11" s="2">
        <v>16</v>
      </c>
      <c r="D11" s="2"/>
      <c r="E11" s="2">
        <v>710.6</v>
      </c>
      <c r="F11" s="2"/>
      <c r="G11" s="2">
        <v>710.6</v>
      </c>
      <c r="H11" s="2"/>
      <c r="I11" s="2">
        <v>19.5</v>
      </c>
      <c r="J11" s="5">
        <f t="shared" si="0"/>
        <v>13856.7</v>
      </c>
      <c r="K11" s="5"/>
      <c r="L11" s="2">
        <v>16.77</v>
      </c>
      <c r="M11" s="2">
        <f t="shared" si="1"/>
        <v>11916.762000000001</v>
      </c>
    </row>
    <row r="12" spans="1:14">
      <c r="A12" s="2" t="s">
        <v>5</v>
      </c>
      <c r="B12" s="2" t="s">
        <v>7</v>
      </c>
      <c r="C12" s="2">
        <v>12</v>
      </c>
      <c r="D12" s="2"/>
      <c r="E12" s="2">
        <v>690.83</v>
      </c>
      <c r="F12" s="2"/>
      <c r="G12" s="2">
        <v>690.83</v>
      </c>
      <c r="H12" s="2"/>
      <c r="I12" s="2">
        <v>19.5</v>
      </c>
      <c r="J12" s="5">
        <f t="shared" si="0"/>
        <v>13471.185000000001</v>
      </c>
      <c r="K12" s="5"/>
      <c r="L12" s="2">
        <v>16.77</v>
      </c>
      <c r="M12" s="2">
        <f t="shared" si="1"/>
        <v>11585.2191</v>
      </c>
    </row>
    <row r="13" spans="1:14">
      <c r="A13" s="2" t="s">
        <v>8</v>
      </c>
      <c r="B13" s="2" t="s">
        <v>9</v>
      </c>
      <c r="C13" s="2">
        <v>19</v>
      </c>
      <c r="D13" s="2"/>
      <c r="E13" s="2">
        <v>935.9</v>
      </c>
      <c r="F13" s="2"/>
      <c r="G13" s="2">
        <v>935.9</v>
      </c>
      <c r="H13" s="2"/>
      <c r="I13" s="2">
        <v>19.5</v>
      </c>
      <c r="J13" s="5">
        <f t="shared" si="0"/>
        <v>18250.05</v>
      </c>
      <c r="K13" s="5"/>
      <c r="L13" s="2">
        <v>16.77</v>
      </c>
      <c r="M13" s="2">
        <f t="shared" si="1"/>
        <v>15695.043</v>
      </c>
    </row>
    <row r="14" spans="1:14">
      <c r="A14" s="2" t="s">
        <v>8</v>
      </c>
      <c r="B14" s="2" t="s">
        <v>10</v>
      </c>
      <c r="C14" s="2">
        <v>19</v>
      </c>
      <c r="D14" s="2"/>
      <c r="E14" s="2">
        <v>846.9</v>
      </c>
      <c r="F14" s="2"/>
      <c r="G14" s="2">
        <v>846.9</v>
      </c>
      <c r="H14" s="2"/>
      <c r="I14" s="2">
        <v>19.5</v>
      </c>
      <c r="J14" s="5">
        <f t="shared" si="0"/>
        <v>16514.55</v>
      </c>
      <c r="K14" s="5"/>
      <c r="L14" s="2">
        <v>16.77</v>
      </c>
      <c r="M14" s="2">
        <f t="shared" si="1"/>
        <v>14202.512999999999</v>
      </c>
    </row>
    <row r="15" spans="1:14">
      <c r="A15" s="2" t="s">
        <v>8</v>
      </c>
      <c r="B15" s="2" t="s">
        <v>11</v>
      </c>
      <c r="C15" s="2">
        <v>18</v>
      </c>
      <c r="D15" s="2"/>
      <c r="E15" s="2">
        <v>899.7</v>
      </c>
      <c r="F15" s="2"/>
      <c r="G15" s="2">
        <v>899.7</v>
      </c>
      <c r="H15" s="2"/>
      <c r="I15" s="2">
        <v>19.5</v>
      </c>
      <c r="J15" s="5">
        <f t="shared" si="0"/>
        <v>17544.150000000001</v>
      </c>
      <c r="K15" s="5"/>
      <c r="L15" s="2">
        <v>16.77</v>
      </c>
      <c r="M15" s="2">
        <f t="shared" si="1"/>
        <v>15087.969000000001</v>
      </c>
    </row>
    <row r="16" spans="1:14">
      <c r="A16" s="2" t="s">
        <v>8</v>
      </c>
      <c r="B16" s="2" t="s">
        <v>12</v>
      </c>
      <c r="C16" s="2">
        <v>17</v>
      </c>
      <c r="D16" s="2"/>
      <c r="E16" s="2">
        <v>911.2</v>
      </c>
      <c r="F16" s="2"/>
      <c r="G16" s="2">
        <v>911.2</v>
      </c>
      <c r="H16" s="2"/>
      <c r="I16" s="2">
        <v>19.5</v>
      </c>
      <c r="J16" s="5">
        <f t="shared" si="0"/>
        <v>17768.400000000001</v>
      </c>
      <c r="K16" s="5"/>
      <c r="L16" s="2">
        <v>16.77</v>
      </c>
      <c r="M16" s="2">
        <f t="shared" si="1"/>
        <v>15280.824000000001</v>
      </c>
    </row>
    <row r="17" spans="1:14">
      <c r="A17" s="2" t="s">
        <v>13</v>
      </c>
      <c r="B17" s="2">
        <v>15</v>
      </c>
      <c r="C17" s="2">
        <v>60</v>
      </c>
      <c r="D17" s="2"/>
      <c r="E17" s="2">
        <v>2600</v>
      </c>
      <c r="F17" s="2">
        <v>2600</v>
      </c>
      <c r="G17" s="2"/>
      <c r="H17" s="2"/>
      <c r="I17" s="2">
        <v>21.8</v>
      </c>
      <c r="J17" s="5">
        <f t="shared" si="0"/>
        <v>56680</v>
      </c>
      <c r="K17" s="5"/>
      <c r="L17" s="2">
        <v>17.57</v>
      </c>
      <c r="M17" s="2">
        <f t="shared" si="1"/>
        <v>45682</v>
      </c>
    </row>
    <row r="18" spans="1:14">
      <c r="A18" s="2" t="s">
        <v>14</v>
      </c>
      <c r="B18" s="2" t="s">
        <v>15</v>
      </c>
      <c r="C18" s="2">
        <v>4</v>
      </c>
      <c r="D18" s="2"/>
      <c r="E18" s="2">
        <v>261.8</v>
      </c>
      <c r="F18" s="2"/>
      <c r="G18" s="2">
        <v>261.8</v>
      </c>
      <c r="H18" s="2"/>
      <c r="I18" s="2">
        <v>19.5</v>
      </c>
      <c r="J18" s="5">
        <f t="shared" si="0"/>
        <v>5105.1000000000004</v>
      </c>
      <c r="K18" s="5"/>
      <c r="L18" s="2">
        <v>15.66</v>
      </c>
      <c r="M18" s="2">
        <f t="shared" si="1"/>
        <v>4099.7880000000005</v>
      </c>
    </row>
    <row r="19" spans="1:14">
      <c r="A19" s="2" t="s">
        <v>16</v>
      </c>
      <c r="B19" s="2" t="s">
        <v>6</v>
      </c>
      <c r="C19" s="2">
        <v>60</v>
      </c>
      <c r="D19" s="2"/>
      <c r="E19" s="2">
        <v>2582.5</v>
      </c>
      <c r="F19" s="2">
        <v>2582.5</v>
      </c>
      <c r="G19" s="2"/>
      <c r="H19" s="2"/>
      <c r="I19" s="2">
        <v>21.8</v>
      </c>
      <c r="J19" s="5">
        <f t="shared" si="0"/>
        <v>56298.5</v>
      </c>
      <c r="K19" s="5">
        <v>15.97</v>
      </c>
      <c r="L19" s="2">
        <v>17.57</v>
      </c>
      <c r="M19" s="2">
        <f t="shared" si="1"/>
        <v>45374.525000000001</v>
      </c>
      <c r="N19">
        <f>I19/K19</f>
        <v>1.3650594865372574</v>
      </c>
    </row>
    <row r="20" spans="1:14">
      <c r="A20" s="2" t="s">
        <v>16</v>
      </c>
      <c r="B20" s="2" t="s">
        <v>9</v>
      </c>
      <c r="C20" s="2">
        <v>60</v>
      </c>
      <c r="D20" s="2"/>
      <c r="E20" s="2">
        <v>2596</v>
      </c>
      <c r="F20" s="2">
        <v>2596</v>
      </c>
      <c r="G20" s="2"/>
      <c r="H20" s="2"/>
      <c r="I20" s="2">
        <v>21.8</v>
      </c>
      <c r="J20" s="5">
        <f t="shared" si="0"/>
        <v>56592.800000000003</v>
      </c>
      <c r="K20" s="5"/>
      <c r="L20" s="2">
        <v>17.57</v>
      </c>
      <c r="M20" s="2">
        <f t="shared" si="1"/>
        <v>45611.72</v>
      </c>
    </row>
    <row r="21" spans="1:14">
      <c r="A21" s="2" t="s">
        <v>17</v>
      </c>
      <c r="B21" s="2" t="s">
        <v>6</v>
      </c>
      <c r="C21" s="2">
        <v>4</v>
      </c>
      <c r="D21" s="2"/>
      <c r="E21" s="2">
        <v>222.4</v>
      </c>
      <c r="F21" s="2"/>
      <c r="G21" s="2"/>
      <c r="H21" s="2">
        <v>222.4</v>
      </c>
      <c r="I21" s="2">
        <v>32.58</v>
      </c>
      <c r="J21" s="5">
        <f t="shared" si="0"/>
        <v>7245.7919999999995</v>
      </c>
      <c r="K21" s="5"/>
      <c r="L21" s="2">
        <v>30.52</v>
      </c>
      <c r="M21" s="2">
        <f t="shared" si="1"/>
        <v>6787.6480000000001</v>
      </c>
    </row>
    <row r="22" spans="1:14">
      <c r="A22" s="2" t="s">
        <v>17</v>
      </c>
      <c r="B22" s="2">
        <v>4</v>
      </c>
      <c r="C22" s="2">
        <v>4</v>
      </c>
      <c r="D22" s="2"/>
      <c r="E22" s="2">
        <v>208.8</v>
      </c>
      <c r="F22" s="2"/>
      <c r="G22" s="2">
        <v>208.8</v>
      </c>
      <c r="H22" s="2"/>
      <c r="I22" s="2">
        <v>19.5</v>
      </c>
      <c r="J22" s="5">
        <f t="shared" si="0"/>
        <v>4071.6000000000004</v>
      </c>
      <c r="K22" s="5"/>
      <c r="L22" s="2">
        <v>16.77</v>
      </c>
      <c r="M22" s="2">
        <f t="shared" si="1"/>
        <v>3501.576</v>
      </c>
    </row>
    <row r="23" spans="1:14">
      <c r="A23" s="2" t="s">
        <v>17</v>
      </c>
      <c r="B23" s="2">
        <v>6</v>
      </c>
      <c r="C23" s="2">
        <v>8</v>
      </c>
      <c r="D23" s="2"/>
      <c r="E23" s="2">
        <v>355.4</v>
      </c>
      <c r="F23" s="2"/>
      <c r="G23" s="2"/>
      <c r="H23" s="2">
        <v>355.4</v>
      </c>
      <c r="I23" s="2">
        <v>32.58</v>
      </c>
      <c r="J23" s="5">
        <f t="shared" si="0"/>
        <v>11578.931999999999</v>
      </c>
      <c r="K23" s="5"/>
      <c r="L23" s="2">
        <v>26.23</v>
      </c>
      <c r="M23" s="2">
        <f t="shared" si="1"/>
        <v>9322.1419999999998</v>
      </c>
    </row>
    <row r="24" spans="1:14">
      <c r="A24" s="2" t="s">
        <v>17</v>
      </c>
      <c r="B24" s="2">
        <v>14</v>
      </c>
      <c r="C24" s="2">
        <v>18</v>
      </c>
      <c r="D24" s="2"/>
      <c r="E24" s="2">
        <v>719.52</v>
      </c>
      <c r="F24" s="2"/>
      <c r="G24" s="2"/>
      <c r="H24" s="2">
        <v>719.52</v>
      </c>
      <c r="I24" s="2">
        <v>32.58</v>
      </c>
      <c r="J24" s="5">
        <f t="shared" si="0"/>
        <v>23441.961599999999</v>
      </c>
      <c r="K24" s="5"/>
      <c r="L24" s="2">
        <v>30.52</v>
      </c>
      <c r="M24" s="2">
        <f t="shared" si="1"/>
        <v>21959.750400000001</v>
      </c>
    </row>
    <row r="25" spans="1:14">
      <c r="A25" s="2" t="s">
        <v>17</v>
      </c>
      <c r="B25" s="2">
        <v>16</v>
      </c>
      <c r="C25" s="2">
        <v>16</v>
      </c>
      <c r="D25" s="2"/>
      <c r="E25" s="2">
        <v>728.2</v>
      </c>
      <c r="F25" s="2"/>
      <c r="G25" s="2"/>
      <c r="H25" s="2">
        <v>728.2</v>
      </c>
      <c r="I25" s="2">
        <v>32.58</v>
      </c>
      <c r="J25" s="5">
        <f t="shared" si="0"/>
        <v>23724.756000000001</v>
      </c>
      <c r="K25" s="5"/>
      <c r="L25" s="2">
        <v>30.52</v>
      </c>
      <c r="M25" s="2">
        <f t="shared" si="1"/>
        <v>22224.664000000001</v>
      </c>
    </row>
    <row r="26" spans="1:14">
      <c r="A26" s="2" t="s">
        <v>17</v>
      </c>
      <c r="B26" s="2">
        <v>18</v>
      </c>
      <c r="C26" s="2">
        <v>16</v>
      </c>
      <c r="D26" s="2"/>
      <c r="E26" s="2">
        <v>738.6</v>
      </c>
      <c r="F26" s="2"/>
      <c r="G26" s="2"/>
      <c r="H26" s="2">
        <v>738.6</v>
      </c>
      <c r="I26" s="2">
        <v>32.58</v>
      </c>
      <c r="J26" s="5">
        <f t="shared" si="0"/>
        <v>24063.588</v>
      </c>
      <c r="K26" s="5"/>
      <c r="L26" s="2">
        <v>30.52</v>
      </c>
      <c r="M26" s="2">
        <f t="shared" si="1"/>
        <v>22542.072</v>
      </c>
    </row>
    <row r="27" spans="1:14">
      <c r="A27" s="2" t="s">
        <v>17</v>
      </c>
      <c r="B27" s="2">
        <v>20</v>
      </c>
      <c r="C27" s="2">
        <v>17</v>
      </c>
      <c r="D27" s="2"/>
      <c r="E27" s="2">
        <v>721.8</v>
      </c>
      <c r="F27" s="2"/>
      <c r="G27" s="2"/>
      <c r="H27" s="2">
        <v>721.8</v>
      </c>
      <c r="I27" s="2">
        <v>32.58</v>
      </c>
      <c r="J27" s="5">
        <f t="shared" si="0"/>
        <v>23516.243999999999</v>
      </c>
      <c r="K27" s="5"/>
      <c r="L27" s="2">
        <v>30.52</v>
      </c>
      <c r="M27" s="2">
        <f t="shared" si="1"/>
        <v>22029.335999999999</v>
      </c>
    </row>
    <row r="28" spans="1:14">
      <c r="A28" s="2" t="s">
        <v>17</v>
      </c>
      <c r="B28" s="2" t="s">
        <v>18</v>
      </c>
      <c r="C28" s="2">
        <v>16</v>
      </c>
      <c r="D28" s="2"/>
      <c r="E28" s="2">
        <v>783.1</v>
      </c>
      <c r="F28" s="2"/>
      <c r="G28" s="2"/>
      <c r="H28" s="2">
        <v>783.1</v>
      </c>
      <c r="I28" s="2">
        <v>32.58</v>
      </c>
      <c r="J28" s="5">
        <f t="shared" si="0"/>
        <v>25513.398000000001</v>
      </c>
      <c r="K28" s="5"/>
      <c r="L28" s="2">
        <v>26.23</v>
      </c>
      <c r="M28" s="2">
        <f t="shared" si="1"/>
        <v>20540.713</v>
      </c>
    </row>
    <row r="29" spans="1:14">
      <c r="A29" s="2" t="s">
        <v>19</v>
      </c>
      <c r="B29" s="2">
        <v>2</v>
      </c>
      <c r="C29" s="2">
        <v>4</v>
      </c>
      <c r="D29" s="2"/>
      <c r="E29" s="2">
        <v>222.1</v>
      </c>
      <c r="F29" s="2"/>
      <c r="G29" s="2"/>
      <c r="H29" s="2">
        <v>222.1</v>
      </c>
      <c r="I29" s="2">
        <v>32.58</v>
      </c>
      <c r="J29" s="5">
        <f t="shared" si="0"/>
        <v>7236.0179999999991</v>
      </c>
      <c r="K29" s="5"/>
      <c r="L29" s="2">
        <v>16.77</v>
      </c>
      <c r="M29" s="2">
        <f t="shared" si="1"/>
        <v>3724.6169999999997</v>
      </c>
    </row>
    <row r="30" spans="1:14">
      <c r="A30" s="2" t="s">
        <v>19</v>
      </c>
      <c r="B30" s="2" t="s">
        <v>6</v>
      </c>
      <c r="C30" s="2">
        <v>120</v>
      </c>
      <c r="D30" s="2"/>
      <c r="E30" s="2">
        <v>5120.2</v>
      </c>
      <c r="F30" s="2">
        <v>5120.2</v>
      </c>
      <c r="G30" s="2"/>
      <c r="H30" s="2"/>
      <c r="I30" s="2">
        <v>21.8</v>
      </c>
      <c r="J30" s="5">
        <f t="shared" si="0"/>
        <v>111620.36</v>
      </c>
      <c r="K30" s="5"/>
      <c r="L30" s="2">
        <v>17.57</v>
      </c>
      <c r="M30" s="2">
        <f t="shared" si="1"/>
        <v>89961.914000000004</v>
      </c>
    </row>
    <row r="31" spans="1:14">
      <c r="A31" s="2" t="s">
        <v>19</v>
      </c>
      <c r="B31" s="2" t="s">
        <v>9</v>
      </c>
      <c r="C31" s="2">
        <v>59</v>
      </c>
      <c r="D31" s="2"/>
      <c r="E31" s="2">
        <v>2514.5</v>
      </c>
      <c r="F31" s="2">
        <v>2514.5</v>
      </c>
      <c r="G31" s="2"/>
      <c r="H31" s="2"/>
      <c r="I31" s="2">
        <v>21.8</v>
      </c>
      <c r="J31" s="5">
        <f t="shared" si="0"/>
        <v>54816.1</v>
      </c>
      <c r="K31" s="5"/>
      <c r="L31" s="2">
        <v>17.57</v>
      </c>
      <c r="M31" s="2">
        <f t="shared" si="1"/>
        <v>44179.764999999999</v>
      </c>
    </row>
    <row r="32" spans="1:14">
      <c r="A32" s="2" t="s">
        <v>19</v>
      </c>
      <c r="B32" s="2" t="s">
        <v>11</v>
      </c>
      <c r="C32" s="2">
        <v>60</v>
      </c>
      <c r="D32" s="2"/>
      <c r="E32" s="2">
        <v>2564.1999999999998</v>
      </c>
      <c r="F32" s="2">
        <v>2564.1999999999998</v>
      </c>
      <c r="G32" s="2"/>
      <c r="H32" s="2"/>
      <c r="I32" s="2">
        <v>21.8</v>
      </c>
      <c r="J32" s="5">
        <f t="shared" si="0"/>
        <v>55899.56</v>
      </c>
      <c r="K32" s="5"/>
      <c r="L32" s="2">
        <v>17.57</v>
      </c>
      <c r="M32" s="2">
        <f t="shared" si="1"/>
        <v>45052.993999999999</v>
      </c>
    </row>
    <row r="33" spans="1:17">
      <c r="A33" s="2" t="s">
        <v>19</v>
      </c>
      <c r="B33" s="2" t="s">
        <v>7</v>
      </c>
      <c r="C33" s="2">
        <v>62</v>
      </c>
      <c r="D33" s="2"/>
      <c r="E33" s="2">
        <v>2637.5</v>
      </c>
      <c r="F33" s="2">
        <v>2637.5</v>
      </c>
      <c r="G33" s="2"/>
      <c r="H33" s="2"/>
      <c r="I33" s="2">
        <v>21.8</v>
      </c>
      <c r="J33" s="5">
        <f t="shared" si="0"/>
        <v>57497.5</v>
      </c>
      <c r="K33" s="5"/>
      <c r="L33" s="2">
        <v>17.57</v>
      </c>
      <c r="M33" s="2">
        <f t="shared" si="1"/>
        <v>46340.875</v>
      </c>
    </row>
    <row r="34" spans="1:17">
      <c r="A34" s="2" t="s">
        <v>19</v>
      </c>
      <c r="B34" s="2" t="s">
        <v>20</v>
      </c>
      <c r="C34" s="2">
        <v>114</v>
      </c>
      <c r="D34" s="2"/>
      <c r="E34" s="2">
        <v>2334.8000000000002</v>
      </c>
      <c r="F34" s="2">
        <v>2334.8000000000002</v>
      </c>
      <c r="G34" s="2"/>
      <c r="H34" s="2"/>
      <c r="I34" s="2">
        <v>21.8</v>
      </c>
      <c r="J34" s="5">
        <f t="shared" si="0"/>
        <v>50898.640000000007</v>
      </c>
      <c r="K34" s="5"/>
      <c r="L34" s="2">
        <v>17.57</v>
      </c>
      <c r="M34" s="2">
        <f t="shared" si="1"/>
        <v>41022.436000000002</v>
      </c>
      <c r="N34">
        <v>32.58</v>
      </c>
      <c r="O34">
        <f>N34*E34</f>
        <v>76067.784</v>
      </c>
    </row>
    <row r="35" spans="1:17">
      <c r="A35" s="2" t="s">
        <v>19</v>
      </c>
      <c r="B35" s="2" t="s">
        <v>21</v>
      </c>
      <c r="C35" s="2">
        <v>122</v>
      </c>
      <c r="D35" s="2"/>
      <c r="E35" s="2">
        <v>2348.9</v>
      </c>
      <c r="F35" s="2">
        <v>2348.9</v>
      </c>
      <c r="G35" s="2"/>
      <c r="H35" s="2"/>
      <c r="I35" s="2">
        <v>21.8</v>
      </c>
      <c r="J35" s="5">
        <f t="shared" si="0"/>
        <v>51206.020000000004</v>
      </c>
      <c r="K35" s="5"/>
      <c r="L35" s="2">
        <v>17.57</v>
      </c>
      <c r="M35" s="2">
        <f t="shared" si="1"/>
        <v>41270.173000000003</v>
      </c>
      <c r="N35">
        <v>32.58</v>
      </c>
      <c r="O35">
        <f>N35*E35</f>
        <v>76527.161999999997</v>
      </c>
    </row>
    <row r="36" spans="1:17">
      <c r="A36" s="2" t="s">
        <v>19</v>
      </c>
      <c r="B36" s="2" t="s">
        <v>3</v>
      </c>
      <c r="C36" s="2">
        <v>60</v>
      </c>
      <c r="D36" s="2"/>
      <c r="E36" s="2">
        <v>3230.36</v>
      </c>
      <c r="F36" s="2">
        <v>3230.36</v>
      </c>
      <c r="G36" s="2"/>
      <c r="H36" s="2"/>
      <c r="I36" s="2">
        <v>21.8</v>
      </c>
      <c r="J36" s="5">
        <f t="shared" si="0"/>
        <v>70421.847999999998</v>
      </c>
      <c r="K36" s="5"/>
      <c r="L36" s="2">
        <v>17.57</v>
      </c>
      <c r="M36" s="2">
        <f t="shared" si="1"/>
        <v>56757.425200000005</v>
      </c>
    </row>
    <row r="37" spans="1:17">
      <c r="A37" s="2" t="s">
        <v>19</v>
      </c>
      <c r="B37" s="2" t="s">
        <v>22</v>
      </c>
      <c r="C37" s="2">
        <v>70</v>
      </c>
      <c r="D37" s="2"/>
      <c r="E37" s="2">
        <v>2360.1</v>
      </c>
      <c r="F37" s="2">
        <v>2360.1</v>
      </c>
      <c r="G37" s="2"/>
      <c r="H37" s="2"/>
      <c r="I37" s="2">
        <v>21.8</v>
      </c>
      <c r="J37" s="5">
        <f t="shared" si="0"/>
        <v>51450.18</v>
      </c>
      <c r="K37" s="5"/>
      <c r="L37" s="2">
        <v>17.57</v>
      </c>
      <c r="M37" s="2">
        <f t="shared" si="1"/>
        <v>41466.957000000002</v>
      </c>
    </row>
    <row r="38" spans="1:17">
      <c r="A38" s="2" t="s">
        <v>23</v>
      </c>
      <c r="B38" s="2" t="s">
        <v>24</v>
      </c>
      <c r="C38" s="2">
        <v>24</v>
      </c>
      <c r="D38" s="2"/>
      <c r="E38" s="2">
        <v>1236.4000000000001</v>
      </c>
      <c r="F38" s="2"/>
      <c r="G38" s="2"/>
      <c r="H38" s="2">
        <v>1236.4000000000001</v>
      </c>
      <c r="I38" s="5">
        <v>32.58</v>
      </c>
      <c r="J38" s="5">
        <f t="shared" si="0"/>
        <v>40281.912000000004</v>
      </c>
      <c r="K38" s="5"/>
      <c r="L38" s="2">
        <v>30.52</v>
      </c>
      <c r="M38" s="2">
        <f t="shared" si="1"/>
        <v>37734.928</v>
      </c>
    </row>
    <row r="39" spans="1:17">
      <c r="A39" s="3" t="s">
        <v>33</v>
      </c>
      <c r="B39" s="3"/>
      <c r="C39" s="3">
        <v>1902</v>
      </c>
      <c r="D39" s="3"/>
      <c r="E39" s="3">
        <f>SUM(E5:E38)</f>
        <v>48190.810000000005</v>
      </c>
      <c r="F39" s="3">
        <f>SUM(F5:F38)</f>
        <v>30889.06</v>
      </c>
      <c r="G39" s="3">
        <f>SUM(G5:G38)</f>
        <v>9956.0299999999988</v>
      </c>
      <c r="H39" s="3">
        <f>SUM(H5:H38)</f>
        <v>7345.7200000000012</v>
      </c>
      <c r="I39" s="2"/>
      <c r="J39" s="5">
        <f>SUM(J5:J38)</f>
        <v>1106847.6506000001</v>
      </c>
      <c r="K39" s="5"/>
      <c r="L39" s="2"/>
      <c r="M39" s="2">
        <f>SUM(M5:M38)</f>
        <v>925646.14370000002</v>
      </c>
      <c r="O39">
        <f>SUM(O34:O38)</f>
        <v>152594.946</v>
      </c>
      <c r="Q39">
        <f>M39+O39</f>
        <v>1078241.0896999999</v>
      </c>
    </row>
    <row r="40" spans="1:17">
      <c r="F40">
        <f>F39*18.85*12/1000</f>
        <v>6987.1053720000018</v>
      </c>
      <c r="G40">
        <f>G39*17.83*12/1000</f>
        <v>2130.1921787999995</v>
      </c>
      <c r="H40">
        <f>H39*30.24*12/1000</f>
        <v>2665.6148736000005</v>
      </c>
      <c r="J40">
        <v>1187421.55</v>
      </c>
    </row>
    <row r="41" spans="1:17">
      <c r="H41">
        <f>F40+G40+H40</f>
        <v>11782.912424400001</v>
      </c>
      <c r="J41" s="4">
        <f>J39-J40</f>
        <v>-80573.899399999995</v>
      </c>
      <c r="K41" s="4"/>
    </row>
    <row r="42" spans="1:17">
      <c r="J42">
        <f>J39*12</f>
        <v>13282171.8072</v>
      </c>
    </row>
    <row r="43" spans="1:17">
      <c r="A43" t="s">
        <v>34</v>
      </c>
      <c r="C43">
        <f>F39</f>
        <v>30889.06</v>
      </c>
      <c r="J43">
        <v>1053641</v>
      </c>
    </row>
    <row r="44" spans="1:17">
      <c r="A44" t="s">
        <v>35</v>
      </c>
      <c r="C44">
        <f>G39</f>
        <v>9956.0299999999988</v>
      </c>
      <c r="J44">
        <v>13275885</v>
      </c>
    </row>
    <row r="45" spans="1:17">
      <c r="A45" t="s">
        <v>36</v>
      </c>
      <c r="C45">
        <f>H39</f>
        <v>7345.7200000000012</v>
      </c>
      <c r="J45">
        <f>J42-J44</f>
        <v>6286.8071999996901</v>
      </c>
    </row>
    <row r="46" spans="1:17">
      <c r="A46" t="s">
        <v>46</v>
      </c>
      <c r="C46">
        <v>783.1</v>
      </c>
    </row>
    <row r="48" spans="1:17">
      <c r="A48" t="s">
        <v>40</v>
      </c>
      <c r="C48">
        <f>C43+E38</f>
        <v>32125.460000000003</v>
      </c>
    </row>
    <row r="51" spans="1:10">
      <c r="A51" t="s">
        <v>41</v>
      </c>
      <c r="C51">
        <v>8477.7000000000007</v>
      </c>
      <c r="H51">
        <v>92</v>
      </c>
      <c r="I51">
        <f>(15383.4/12-209.8)/(48190.81+962.3)*1000</f>
        <v>21.812455000304155</v>
      </c>
    </row>
    <row r="52" spans="1:10">
      <c r="A52" t="s">
        <v>42</v>
      </c>
      <c r="C52">
        <f>658.84-52.9</f>
        <v>605.94000000000005</v>
      </c>
      <c r="E52">
        <f>C52/C45/7*1000</f>
        <v>11.784121521492398</v>
      </c>
      <c r="G52">
        <f>C52*1.18</f>
        <v>715.00920000000008</v>
      </c>
      <c r="H52">
        <f>G52/7</f>
        <v>102.14417142857144</v>
      </c>
    </row>
    <row r="53" spans="1:10">
      <c r="A53" t="s">
        <v>45</v>
      </c>
      <c r="C53">
        <v>52.9</v>
      </c>
      <c r="E53">
        <f>C53*1000/C46/7</f>
        <v>9.6502909681303244</v>
      </c>
      <c r="G53">
        <f>C53*1.18</f>
        <v>62.421999999999997</v>
      </c>
      <c r="H53">
        <f>G53/7</f>
        <v>8.9174285714285713</v>
      </c>
    </row>
    <row r="54" spans="1:10">
      <c r="A54" t="s">
        <v>43</v>
      </c>
      <c r="C54">
        <f>(409.8+145.2)+14*7</f>
        <v>653</v>
      </c>
      <c r="E54">
        <f>C54*1000/E39/7</f>
        <v>1.93575734223422</v>
      </c>
      <c r="H54">
        <f>0.25*7.8*1.12*1.342</f>
        <v>2.9309280000000002</v>
      </c>
    </row>
    <row r="55" spans="1:10">
      <c r="A55" t="s">
        <v>47</v>
      </c>
      <c r="C55">
        <v>759.11</v>
      </c>
      <c r="E55">
        <f>C55*1000/C48/7</f>
        <v>3.3756492736379715</v>
      </c>
      <c r="G55">
        <f>10*7.8*1.12*1.342</f>
        <v>117.23712000000002</v>
      </c>
      <c r="H55">
        <f>G55*1000/C43</f>
        <v>3.7954253059173708</v>
      </c>
    </row>
    <row r="56" spans="1:10">
      <c r="H56">
        <f>SUM(H51:H55)</f>
        <v>209.78795330591737</v>
      </c>
    </row>
    <row r="57" spans="1:10" ht="53.25" customHeight="1">
      <c r="C57" s="53" t="s">
        <v>123</v>
      </c>
      <c r="D57" s="53"/>
      <c r="E57" s="53"/>
    </row>
    <row r="58" spans="1:10" ht="53.25" customHeight="1">
      <c r="C58" s="85" t="s">
        <v>158</v>
      </c>
      <c r="D58" s="85"/>
      <c r="E58" s="85"/>
    </row>
    <row r="59" spans="1:10" ht="53.25" customHeight="1">
      <c r="A59" s="70" t="s">
        <v>145</v>
      </c>
      <c r="B59" s="70"/>
      <c r="C59" s="70"/>
      <c r="D59" s="70"/>
      <c r="E59" s="70"/>
    </row>
    <row r="60" spans="1:10" ht="84" customHeight="1">
      <c r="A60" s="10" t="s">
        <v>141</v>
      </c>
      <c r="B60" s="16" t="s">
        <v>142</v>
      </c>
      <c r="C60" s="10" t="s">
        <v>143</v>
      </c>
      <c r="D60" s="10" t="s">
        <v>148</v>
      </c>
      <c r="E60" s="10" t="s">
        <v>144</v>
      </c>
    </row>
    <row r="61" spans="1:10">
      <c r="A61" s="71" t="s">
        <v>52</v>
      </c>
      <c r="B61" s="2" t="s">
        <v>49</v>
      </c>
      <c r="C61" s="2"/>
      <c r="D61" s="2"/>
      <c r="E61" s="30">
        <v>14.78</v>
      </c>
      <c r="F61" s="4"/>
    </row>
    <row r="62" spans="1:10">
      <c r="A62" s="72"/>
      <c r="B62" s="2" t="s">
        <v>121</v>
      </c>
      <c r="C62" s="2"/>
      <c r="D62" s="2"/>
      <c r="E62" s="29">
        <v>2.74</v>
      </c>
      <c r="F62" s="4"/>
      <c r="G62">
        <v>1.94</v>
      </c>
      <c r="I62">
        <f>2.41+3.41+9.17+0.31+1.68</f>
        <v>16.98</v>
      </c>
      <c r="J62" t="s">
        <v>61</v>
      </c>
    </row>
    <row r="63" spans="1:10">
      <c r="A63" s="72"/>
      <c r="B63" s="2" t="s">
        <v>122</v>
      </c>
      <c r="C63" s="2"/>
      <c r="D63" s="2">
        <v>0.31</v>
      </c>
      <c r="E63" s="29">
        <v>0.31</v>
      </c>
      <c r="F63" s="4"/>
    </row>
    <row r="64" spans="1:10">
      <c r="A64" s="73"/>
      <c r="B64" s="2"/>
      <c r="C64" s="3">
        <v>15.24</v>
      </c>
      <c r="D64" s="3">
        <f>C64*1.2+0.31</f>
        <v>18.597999999999999</v>
      </c>
      <c r="E64" s="34">
        <f>SUM(E61:E63)</f>
        <v>17.829999999999998</v>
      </c>
      <c r="F64" s="4">
        <f>E64/C64</f>
        <v>1.1699475065616796</v>
      </c>
      <c r="G64">
        <f>D64/C64</f>
        <v>1.2203412073490814</v>
      </c>
      <c r="I64">
        <v>1.94</v>
      </c>
      <c r="J64" t="s">
        <v>43</v>
      </c>
    </row>
    <row r="66" spans="1:10" ht="53.25" customHeight="1">
      <c r="A66" s="39"/>
      <c r="B66" s="54" t="s">
        <v>158</v>
      </c>
      <c r="C66" s="54"/>
      <c r="D66" s="54"/>
      <c r="E66" s="54"/>
    </row>
    <row r="67" spans="1:10" ht="53.25" customHeight="1">
      <c r="A67" s="55" t="s">
        <v>145</v>
      </c>
      <c r="B67" s="55"/>
      <c r="C67" s="55"/>
      <c r="D67" s="55"/>
      <c r="E67" s="55"/>
    </row>
    <row r="68" spans="1:10" ht="97.5" customHeight="1">
      <c r="A68" s="40" t="s">
        <v>141</v>
      </c>
      <c r="B68" s="41" t="s">
        <v>142</v>
      </c>
      <c r="C68" s="40" t="s">
        <v>170</v>
      </c>
      <c r="D68" s="40" t="s">
        <v>171</v>
      </c>
      <c r="E68" s="40" t="s">
        <v>144</v>
      </c>
      <c r="J68">
        <v>208.8</v>
      </c>
    </row>
    <row r="69" spans="1:10" ht="15.75">
      <c r="A69" s="56" t="s">
        <v>182</v>
      </c>
      <c r="B69" s="42" t="s">
        <v>165</v>
      </c>
      <c r="C69" s="48">
        <f>C72-C71-C70</f>
        <v>38962.080000000016</v>
      </c>
      <c r="D69" s="42">
        <f>C69/J68/12</f>
        <v>15.550000000000006</v>
      </c>
      <c r="E69" s="43">
        <v>14.78</v>
      </c>
      <c r="F69" s="4"/>
      <c r="J69" t="s">
        <v>120</v>
      </c>
    </row>
    <row r="70" spans="1:10" ht="15.75">
      <c r="A70" s="57"/>
      <c r="B70" s="42" t="s">
        <v>172</v>
      </c>
      <c r="C70" s="48">
        <f>D70*J68*12</f>
        <v>6865.344000000001</v>
      </c>
      <c r="D70" s="42">
        <v>2.74</v>
      </c>
      <c r="E70" s="44">
        <v>2.74</v>
      </c>
      <c r="F70" s="4"/>
      <c r="G70">
        <v>1.94</v>
      </c>
      <c r="I70">
        <v>18.850000000000001</v>
      </c>
    </row>
    <row r="71" spans="1:10" ht="15.75">
      <c r="A71" s="57"/>
      <c r="B71" s="42" t="s">
        <v>174</v>
      </c>
      <c r="C71" s="48">
        <f>J68*12*D71</f>
        <v>776.7360000000001</v>
      </c>
      <c r="D71" s="42">
        <v>0.31</v>
      </c>
      <c r="E71" s="43">
        <v>0.31</v>
      </c>
      <c r="F71" s="4"/>
    </row>
    <row r="72" spans="1:10" ht="15.75">
      <c r="A72" s="58"/>
      <c r="B72" s="42"/>
      <c r="C72" s="49">
        <f>J68*12*D72</f>
        <v>46604.160000000011</v>
      </c>
      <c r="D72" s="45">
        <v>18.600000000000001</v>
      </c>
      <c r="E72" s="46">
        <f>SUM(E69:E71)</f>
        <v>17.829999999999998</v>
      </c>
      <c r="F72" s="4">
        <f>E72/C72</f>
        <v>3.8258387234100979E-4</v>
      </c>
      <c r="G72">
        <f>D72/C72</f>
        <v>3.9910600255427833E-4</v>
      </c>
    </row>
    <row r="73" spans="1:10" ht="15.75">
      <c r="A73" s="39"/>
      <c r="B73" s="39"/>
      <c r="C73" s="39"/>
      <c r="D73" s="39"/>
      <c r="E73" s="39"/>
    </row>
    <row r="74" spans="1:10" ht="15.75">
      <c r="A74" s="59" t="s">
        <v>125</v>
      </c>
      <c r="B74" s="59"/>
      <c r="C74" s="59"/>
      <c r="D74" s="59"/>
      <c r="E74" s="59"/>
      <c r="G74">
        <v>1053640</v>
      </c>
    </row>
    <row r="75" spans="1:10" ht="22.5" customHeight="1">
      <c r="A75" s="50" t="s">
        <v>159</v>
      </c>
      <c r="B75" s="50"/>
      <c r="C75" s="50"/>
      <c r="D75" s="50"/>
      <c r="E75" s="50"/>
    </row>
    <row r="76" spans="1:10" ht="15.75">
      <c r="A76" s="50" t="s">
        <v>160</v>
      </c>
      <c r="B76" s="50"/>
      <c r="C76" s="50"/>
      <c r="D76" s="50"/>
      <c r="E76" s="50"/>
    </row>
    <row r="77" spans="1:10" ht="15.75">
      <c r="A77" s="50" t="s">
        <v>161</v>
      </c>
      <c r="B77" s="50"/>
      <c r="C77" s="50"/>
      <c r="D77" s="50"/>
      <c r="E77" s="50"/>
    </row>
    <row r="78" spans="1:10" ht="15.75">
      <c r="A78" s="50" t="s">
        <v>162</v>
      </c>
      <c r="B78" s="50"/>
      <c r="C78" s="50"/>
      <c r="D78" s="50"/>
      <c r="E78" s="50"/>
    </row>
    <row r="79" spans="1:10" ht="25.5" customHeight="1">
      <c r="A79" s="50" t="s">
        <v>163</v>
      </c>
      <c r="B79" s="50"/>
      <c r="C79" s="50"/>
      <c r="D79" s="50"/>
      <c r="E79" s="50"/>
    </row>
    <row r="80" spans="1:10" ht="15.75">
      <c r="A80" s="50" t="s">
        <v>164</v>
      </c>
      <c r="B80" s="50"/>
      <c r="C80" s="50"/>
      <c r="D80" s="50"/>
      <c r="E80" s="50"/>
    </row>
    <row r="81" spans="1:7" ht="32.25" customHeight="1">
      <c r="A81" s="50" t="s">
        <v>185</v>
      </c>
      <c r="B81" s="50"/>
      <c r="C81" s="50"/>
      <c r="D81" s="50"/>
      <c r="E81" s="50"/>
    </row>
    <row r="82" spans="1:7" ht="33" customHeight="1">
      <c r="A82" s="50" t="s">
        <v>186</v>
      </c>
      <c r="B82" s="50"/>
      <c r="C82" s="50"/>
      <c r="D82" s="50"/>
      <c r="E82" s="50"/>
    </row>
    <row r="83" spans="1:7" ht="15.75">
      <c r="A83" s="47"/>
      <c r="B83" s="47"/>
      <c r="C83" s="47"/>
      <c r="D83" s="47"/>
      <c r="E83" s="47"/>
    </row>
    <row r="84" spans="1:7" ht="15.75">
      <c r="A84" s="51" t="s">
        <v>169</v>
      </c>
      <c r="B84" s="51"/>
      <c r="C84" s="51"/>
      <c r="D84" s="51"/>
      <c r="E84" s="51"/>
    </row>
    <row r="85" spans="1:7" ht="15.75">
      <c r="A85" s="51"/>
      <c r="B85" s="51"/>
      <c r="C85" s="51"/>
      <c r="D85" s="51"/>
      <c r="E85" s="51"/>
    </row>
    <row r="86" spans="1:7">
      <c r="A86" t="s">
        <v>55</v>
      </c>
      <c r="E86">
        <v>2280000</v>
      </c>
      <c r="F86">
        <v>32125.46</v>
      </c>
      <c r="G86">
        <f>E86/F86/12</f>
        <v>5.9143121997319268</v>
      </c>
    </row>
    <row r="87" spans="1:7">
      <c r="B87" t="e">
        <f>#REF!/#REF!/12</f>
        <v>#REF!</v>
      </c>
      <c r="G87" t="s">
        <v>89</v>
      </c>
    </row>
    <row r="88" spans="1:7">
      <c r="A88" t="s">
        <v>58</v>
      </c>
    </row>
    <row r="90" spans="1:7">
      <c r="A90" t="s">
        <v>57</v>
      </c>
    </row>
    <row r="91" spans="1:7">
      <c r="B91">
        <v>29.61</v>
      </c>
    </row>
  </sheetData>
  <mergeCells count="24">
    <mergeCell ref="A80:E80"/>
    <mergeCell ref="A81:E81"/>
    <mergeCell ref="A82:E82"/>
    <mergeCell ref="A85:E85"/>
    <mergeCell ref="A84:E84"/>
    <mergeCell ref="A76:E76"/>
    <mergeCell ref="A77:E77"/>
    <mergeCell ref="B66:E66"/>
    <mergeCell ref="A69:A72"/>
    <mergeCell ref="A78:E78"/>
    <mergeCell ref="A79:E79"/>
    <mergeCell ref="A74:E74"/>
    <mergeCell ref="A75:E75"/>
    <mergeCell ref="A67:E67"/>
    <mergeCell ref="C57:E57"/>
    <mergeCell ref="C58:E58"/>
    <mergeCell ref="A59:E59"/>
    <mergeCell ref="A61:A64"/>
    <mergeCell ref="A3:A4"/>
    <mergeCell ref="B3:B4"/>
    <mergeCell ref="C3:C4"/>
    <mergeCell ref="E3:G3"/>
    <mergeCell ref="I3:I4"/>
    <mergeCell ref="J3:J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8"/>
  <sheetViews>
    <sheetView topLeftCell="A58" workbookViewId="0">
      <selection activeCell="A58" sqref="A58:XFD78"/>
    </sheetView>
  </sheetViews>
  <sheetFormatPr defaultRowHeight="15"/>
  <cols>
    <col min="1" max="1" width="23.5703125" customWidth="1"/>
    <col min="2" max="2" width="24.28515625" customWidth="1"/>
    <col min="3" max="3" width="12.5703125" customWidth="1"/>
    <col min="4" max="4" width="16" customWidth="1"/>
    <col min="5" max="5" width="11" customWidth="1"/>
    <col min="10" max="10" width="25.42578125" customWidth="1"/>
    <col min="11" max="11" width="12.42578125" customWidth="1"/>
  </cols>
  <sheetData>
    <row r="1" spans="1:14">
      <c r="B1" t="s">
        <v>25</v>
      </c>
    </row>
    <row r="2" spans="1:14">
      <c r="A2" t="s">
        <v>26</v>
      </c>
      <c r="I2" t="s">
        <v>94</v>
      </c>
    </row>
    <row r="3" spans="1:14">
      <c r="A3" s="60" t="s">
        <v>27</v>
      </c>
      <c r="B3" s="60" t="s">
        <v>28</v>
      </c>
      <c r="C3" s="61" t="s">
        <v>29</v>
      </c>
      <c r="D3" s="37"/>
      <c r="E3" s="63" t="s">
        <v>30</v>
      </c>
      <c r="F3" s="63"/>
      <c r="G3" s="63"/>
      <c r="H3" s="38" t="s">
        <v>32</v>
      </c>
      <c r="I3" s="64" t="s">
        <v>59</v>
      </c>
      <c r="J3" s="64" t="s">
        <v>60</v>
      </c>
      <c r="K3" s="15"/>
    </row>
    <row r="4" spans="1:14">
      <c r="A4" s="60"/>
      <c r="B4" s="60"/>
      <c r="C4" s="62"/>
      <c r="D4" s="37"/>
      <c r="E4" s="38" t="s">
        <v>31</v>
      </c>
      <c r="F4" s="38" t="s">
        <v>37</v>
      </c>
      <c r="G4" s="38" t="s">
        <v>38</v>
      </c>
      <c r="H4" s="38" t="s">
        <v>39</v>
      </c>
      <c r="I4" s="65"/>
      <c r="J4" s="65"/>
      <c r="K4" s="15"/>
      <c r="L4" s="6">
        <v>0.1</v>
      </c>
    </row>
    <row r="5" spans="1:14">
      <c r="A5" s="2" t="s">
        <v>0</v>
      </c>
      <c r="B5" s="2">
        <v>1</v>
      </c>
      <c r="C5" s="2">
        <v>16</v>
      </c>
      <c r="D5" s="2"/>
      <c r="E5" s="2">
        <v>739</v>
      </c>
      <c r="F5" s="2"/>
      <c r="G5" s="2"/>
      <c r="H5" s="2">
        <v>739</v>
      </c>
      <c r="I5" s="5">
        <v>32.58</v>
      </c>
      <c r="J5" s="5">
        <f>I5*E5</f>
        <v>24076.62</v>
      </c>
      <c r="K5" s="5">
        <v>27.74</v>
      </c>
      <c r="L5" s="2">
        <v>30.52</v>
      </c>
      <c r="M5" s="2">
        <f>L5*E5</f>
        <v>22554.28</v>
      </c>
      <c r="N5">
        <f>I5/K5</f>
        <v>1.174477289113194</v>
      </c>
    </row>
    <row r="6" spans="1:14">
      <c r="A6" s="2" t="s">
        <v>0</v>
      </c>
      <c r="B6" s="2">
        <v>2</v>
      </c>
      <c r="C6" s="2">
        <v>18</v>
      </c>
      <c r="D6" s="2"/>
      <c r="E6" s="2">
        <v>879.2</v>
      </c>
      <c r="F6" s="2"/>
      <c r="G6" s="2"/>
      <c r="H6" s="2">
        <v>879.2</v>
      </c>
      <c r="I6" s="2">
        <v>32.58</v>
      </c>
      <c r="J6" s="5">
        <f t="shared" ref="J6:J38" si="0">I6*E6</f>
        <v>28644.335999999999</v>
      </c>
      <c r="K6" s="5"/>
      <c r="L6" s="2">
        <v>30.52</v>
      </c>
      <c r="M6" s="2">
        <f t="shared" ref="M6:M38" si="1">L6*E6</f>
        <v>26833.184000000001</v>
      </c>
    </row>
    <row r="7" spans="1:14">
      <c r="A7" s="2" t="s">
        <v>1</v>
      </c>
      <c r="B7" s="2" t="s">
        <v>2</v>
      </c>
      <c r="C7" s="2">
        <v>25</v>
      </c>
      <c r="D7" s="2"/>
      <c r="E7" s="2">
        <v>1599</v>
      </c>
      <c r="F7" s="2"/>
      <c r="G7" s="2">
        <v>1599</v>
      </c>
      <c r="H7" s="2"/>
      <c r="I7" s="2">
        <v>19.5</v>
      </c>
      <c r="J7" s="5">
        <f t="shared" si="0"/>
        <v>31180.5</v>
      </c>
      <c r="K7" s="5">
        <v>15.24</v>
      </c>
      <c r="L7" s="2">
        <v>16.77</v>
      </c>
      <c r="M7" s="2">
        <f t="shared" si="1"/>
        <v>26815.23</v>
      </c>
      <c r="N7">
        <f>I7/K7</f>
        <v>1.2795275590551181</v>
      </c>
    </row>
    <row r="8" spans="1:14">
      <c r="A8" s="2" t="s">
        <v>1</v>
      </c>
      <c r="B8" s="2" t="s">
        <v>3</v>
      </c>
      <c r="C8" s="2">
        <v>24</v>
      </c>
      <c r="D8" s="2"/>
      <c r="E8" s="2">
        <v>1256</v>
      </c>
      <c r="F8" s="2"/>
      <c r="G8" s="2">
        <v>1256</v>
      </c>
      <c r="H8" s="2"/>
      <c r="I8" s="2">
        <v>19.5</v>
      </c>
      <c r="J8" s="5">
        <f t="shared" si="0"/>
        <v>24492</v>
      </c>
      <c r="K8" s="5"/>
      <c r="L8" s="2">
        <v>16.77</v>
      </c>
      <c r="M8" s="2">
        <f t="shared" si="1"/>
        <v>21063.119999999999</v>
      </c>
    </row>
    <row r="9" spans="1:14">
      <c r="A9" s="2" t="s">
        <v>1</v>
      </c>
      <c r="B9" s="2" t="s">
        <v>4</v>
      </c>
      <c r="C9" s="2">
        <v>16</v>
      </c>
      <c r="D9" s="2"/>
      <c r="E9" s="2">
        <v>571.20000000000005</v>
      </c>
      <c r="F9" s="2"/>
      <c r="G9" s="2">
        <v>571.20000000000005</v>
      </c>
      <c r="H9" s="2"/>
      <c r="I9" s="2">
        <v>19.5</v>
      </c>
      <c r="J9" s="5">
        <f t="shared" si="0"/>
        <v>11138.400000000001</v>
      </c>
      <c r="K9" s="5"/>
      <c r="L9" s="2">
        <v>16.77</v>
      </c>
      <c r="M9" s="2">
        <f t="shared" si="1"/>
        <v>9579.0240000000013</v>
      </c>
    </row>
    <row r="10" spans="1:14">
      <c r="A10" s="2" t="s">
        <v>5</v>
      </c>
      <c r="B10" s="2">
        <v>1</v>
      </c>
      <c r="C10" s="2">
        <v>24</v>
      </c>
      <c r="D10" s="2"/>
      <c r="E10" s="2">
        <v>1064.0999999999999</v>
      </c>
      <c r="F10" s="2"/>
      <c r="G10" s="2">
        <v>1064.0999999999999</v>
      </c>
      <c r="H10" s="2"/>
      <c r="I10" s="2">
        <v>19.5</v>
      </c>
      <c r="J10" s="5">
        <f t="shared" si="0"/>
        <v>20749.949999999997</v>
      </c>
      <c r="K10" s="5"/>
      <c r="L10" s="2">
        <v>16.77</v>
      </c>
      <c r="M10" s="2">
        <f t="shared" si="1"/>
        <v>17844.956999999999</v>
      </c>
    </row>
    <row r="11" spans="1:14">
      <c r="A11" s="2" t="s">
        <v>5</v>
      </c>
      <c r="B11" s="2" t="s">
        <v>6</v>
      </c>
      <c r="C11" s="2">
        <v>16</v>
      </c>
      <c r="D11" s="2"/>
      <c r="E11" s="2">
        <v>710.6</v>
      </c>
      <c r="F11" s="2"/>
      <c r="G11" s="2">
        <v>710.6</v>
      </c>
      <c r="H11" s="2"/>
      <c r="I11" s="2">
        <v>19.5</v>
      </c>
      <c r="J11" s="5">
        <f t="shared" si="0"/>
        <v>13856.7</v>
      </c>
      <c r="K11" s="5"/>
      <c r="L11" s="2">
        <v>16.77</v>
      </c>
      <c r="M11" s="2">
        <f t="shared" si="1"/>
        <v>11916.762000000001</v>
      </c>
    </row>
    <row r="12" spans="1:14">
      <c r="A12" s="2" t="s">
        <v>5</v>
      </c>
      <c r="B12" s="2" t="s">
        <v>7</v>
      </c>
      <c r="C12" s="2">
        <v>12</v>
      </c>
      <c r="D12" s="2"/>
      <c r="E12" s="2">
        <v>690.83</v>
      </c>
      <c r="F12" s="2"/>
      <c r="G12" s="2">
        <v>690.83</v>
      </c>
      <c r="H12" s="2"/>
      <c r="I12" s="2">
        <v>19.5</v>
      </c>
      <c r="J12" s="5">
        <f t="shared" si="0"/>
        <v>13471.185000000001</v>
      </c>
      <c r="K12" s="5"/>
      <c r="L12" s="2">
        <v>16.77</v>
      </c>
      <c r="M12" s="2">
        <f t="shared" si="1"/>
        <v>11585.2191</v>
      </c>
    </row>
    <row r="13" spans="1:14">
      <c r="A13" s="2" t="s">
        <v>8</v>
      </c>
      <c r="B13" s="2" t="s">
        <v>9</v>
      </c>
      <c r="C13" s="2">
        <v>19</v>
      </c>
      <c r="D13" s="2"/>
      <c r="E13" s="2">
        <v>935.9</v>
      </c>
      <c r="F13" s="2"/>
      <c r="G13" s="2">
        <v>935.9</v>
      </c>
      <c r="H13" s="2"/>
      <c r="I13" s="2">
        <v>19.5</v>
      </c>
      <c r="J13" s="5">
        <f t="shared" si="0"/>
        <v>18250.05</v>
      </c>
      <c r="K13" s="5"/>
      <c r="L13" s="2">
        <v>16.77</v>
      </c>
      <c r="M13" s="2">
        <f t="shared" si="1"/>
        <v>15695.043</v>
      </c>
    </row>
    <row r="14" spans="1:14">
      <c r="A14" s="2" t="s">
        <v>8</v>
      </c>
      <c r="B14" s="2" t="s">
        <v>10</v>
      </c>
      <c r="C14" s="2">
        <v>19</v>
      </c>
      <c r="D14" s="2"/>
      <c r="E14" s="2">
        <v>846.9</v>
      </c>
      <c r="F14" s="2"/>
      <c r="G14" s="2">
        <v>846.9</v>
      </c>
      <c r="H14" s="2"/>
      <c r="I14" s="2">
        <v>19.5</v>
      </c>
      <c r="J14" s="5">
        <f t="shared" si="0"/>
        <v>16514.55</v>
      </c>
      <c r="K14" s="5"/>
      <c r="L14" s="2">
        <v>16.77</v>
      </c>
      <c r="M14" s="2">
        <f t="shared" si="1"/>
        <v>14202.512999999999</v>
      </c>
    </row>
    <row r="15" spans="1:14">
      <c r="A15" s="2" t="s">
        <v>8</v>
      </c>
      <c r="B15" s="2" t="s">
        <v>11</v>
      </c>
      <c r="C15" s="2">
        <v>18</v>
      </c>
      <c r="D15" s="2"/>
      <c r="E15" s="2">
        <v>899.7</v>
      </c>
      <c r="F15" s="2"/>
      <c r="G15" s="2">
        <v>899.7</v>
      </c>
      <c r="H15" s="2"/>
      <c r="I15" s="2">
        <v>19.5</v>
      </c>
      <c r="J15" s="5">
        <f t="shared" si="0"/>
        <v>17544.150000000001</v>
      </c>
      <c r="K15" s="5"/>
      <c r="L15" s="2">
        <v>16.77</v>
      </c>
      <c r="M15" s="2">
        <f t="shared" si="1"/>
        <v>15087.969000000001</v>
      </c>
    </row>
    <row r="16" spans="1:14">
      <c r="A16" s="2" t="s">
        <v>8</v>
      </c>
      <c r="B16" s="2" t="s">
        <v>12</v>
      </c>
      <c r="C16" s="2">
        <v>17</v>
      </c>
      <c r="D16" s="2"/>
      <c r="E16" s="2">
        <v>911.2</v>
      </c>
      <c r="F16" s="2"/>
      <c r="G16" s="2">
        <v>911.2</v>
      </c>
      <c r="H16" s="2"/>
      <c r="I16" s="2">
        <v>19.5</v>
      </c>
      <c r="J16" s="5">
        <f t="shared" si="0"/>
        <v>17768.400000000001</v>
      </c>
      <c r="K16" s="5"/>
      <c r="L16" s="2">
        <v>16.77</v>
      </c>
      <c r="M16" s="2">
        <f t="shared" si="1"/>
        <v>15280.824000000001</v>
      </c>
    </row>
    <row r="17" spans="1:14">
      <c r="A17" s="2" t="s">
        <v>13</v>
      </c>
      <c r="B17" s="2">
        <v>15</v>
      </c>
      <c r="C17" s="2">
        <v>60</v>
      </c>
      <c r="D17" s="2"/>
      <c r="E17" s="2">
        <v>2600</v>
      </c>
      <c r="F17" s="2">
        <v>2600</v>
      </c>
      <c r="G17" s="2"/>
      <c r="H17" s="2"/>
      <c r="I17" s="2">
        <v>21.8</v>
      </c>
      <c r="J17" s="5">
        <f t="shared" si="0"/>
        <v>56680</v>
      </c>
      <c r="K17" s="5"/>
      <c r="L17" s="2">
        <v>17.57</v>
      </c>
      <c r="M17" s="2">
        <f t="shared" si="1"/>
        <v>45682</v>
      </c>
    </row>
    <row r="18" spans="1:14">
      <c r="A18" s="2" t="s">
        <v>14</v>
      </c>
      <c r="B18" s="2" t="s">
        <v>15</v>
      </c>
      <c r="C18" s="2">
        <v>4</v>
      </c>
      <c r="D18" s="2"/>
      <c r="E18" s="2">
        <v>261.8</v>
      </c>
      <c r="F18" s="2"/>
      <c r="G18" s="2">
        <v>261.8</v>
      </c>
      <c r="H18" s="2"/>
      <c r="I18" s="2">
        <v>19.5</v>
      </c>
      <c r="J18" s="5">
        <f t="shared" si="0"/>
        <v>5105.1000000000004</v>
      </c>
      <c r="K18" s="5"/>
      <c r="L18" s="2">
        <v>15.66</v>
      </c>
      <c r="M18" s="2">
        <f t="shared" si="1"/>
        <v>4099.7880000000005</v>
      </c>
    </row>
    <row r="19" spans="1:14">
      <c r="A19" s="2" t="s">
        <v>16</v>
      </c>
      <c r="B19" s="2" t="s">
        <v>6</v>
      </c>
      <c r="C19" s="2">
        <v>60</v>
      </c>
      <c r="D19" s="2"/>
      <c r="E19" s="2">
        <v>2582.5</v>
      </c>
      <c r="F19" s="2">
        <v>2582.5</v>
      </c>
      <c r="G19" s="2"/>
      <c r="H19" s="2"/>
      <c r="I19" s="2">
        <v>21.8</v>
      </c>
      <c r="J19" s="5">
        <f t="shared" si="0"/>
        <v>56298.5</v>
      </c>
      <c r="K19" s="5">
        <v>15.97</v>
      </c>
      <c r="L19" s="2">
        <v>17.57</v>
      </c>
      <c r="M19" s="2">
        <f t="shared" si="1"/>
        <v>45374.525000000001</v>
      </c>
      <c r="N19">
        <f>I19/K19</f>
        <v>1.3650594865372574</v>
      </c>
    </row>
    <row r="20" spans="1:14">
      <c r="A20" s="2" t="s">
        <v>16</v>
      </c>
      <c r="B20" s="2" t="s">
        <v>9</v>
      </c>
      <c r="C20" s="2">
        <v>60</v>
      </c>
      <c r="D20" s="2"/>
      <c r="E20" s="2">
        <v>2596</v>
      </c>
      <c r="F20" s="2">
        <v>2596</v>
      </c>
      <c r="G20" s="2"/>
      <c r="H20" s="2"/>
      <c r="I20" s="2">
        <v>21.8</v>
      </c>
      <c r="J20" s="5">
        <f t="shared" si="0"/>
        <v>56592.800000000003</v>
      </c>
      <c r="K20" s="5"/>
      <c r="L20" s="2">
        <v>17.57</v>
      </c>
      <c r="M20" s="2">
        <f t="shared" si="1"/>
        <v>45611.72</v>
      </c>
    </row>
    <row r="21" spans="1:14">
      <c r="A21" s="2" t="s">
        <v>17</v>
      </c>
      <c r="B21" s="2" t="s">
        <v>6</v>
      </c>
      <c r="C21" s="2">
        <v>4</v>
      </c>
      <c r="D21" s="2"/>
      <c r="E21" s="2">
        <v>222.4</v>
      </c>
      <c r="F21" s="2"/>
      <c r="G21" s="2"/>
      <c r="H21" s="2">
        <v>222.4</v>
      </c>
      <c r="I21" s="2">
        <v>32.58</v>
      </c>
      <c r="J21" s="5">
        <f t="shared" si="0"/>
        <v>7245.7919999999995</v>
      </c>
      <c r="K21" s="5"/>
      <c r="L21" s="2">
        <v>30.52</v>
      </c>
      <c r="M21" s="2">
        <f t="shared" si="1"/>
        <v>6787.6480000000001</v>
      </c>
    </row>
    <row r="22" spans="1:14">
      <c r="A22" s="2" t="s">
        <v>17</v>
      </c>
      <c r="B22" s="2">
        <v>4</v>
      </c>
      <c r="C22" s="2">
        <v>4</v>
      </c>
      <c r="D22" s="2"/>
      <c r="E22" s="2">
        <v>208.8</v>
      </c>
      <c r="F22" s="2"/>
      <c r="G22" s="2">
        <v>208.8</v>
      </c>
      <c r="H22" s="2"/>
      <c r="I22" s="2">
        <v>19.5</v>
      </c>
      <c r="J22" s="5">
        <f t="shared" si="0"/>
        <v>4071.6000000000004</v>
      </c>
      <c r="K22" s="5"/>
      <c r="L22" s="2">
        <v>16.77</v>
      </c>
      <c r="M22" s="2">
        <f t="shared" si="1"/>
        <v>3501.576</v>
      </c>
    </row>
    <row r="23" spans="1:14">
      <c r="A23" s="2" t="s">
        <v>17</v>
      </c>
      <c r="B23" s="2">
        <v>6</v>
      </c>
      <c r="C23" s="2">
        <v>8</v>
      </c>
      <c r="D23" s="2"/>
      <c r="E23" s="2">
        <v>355.4</v>
      </c>
      <c r="F23" s="2"/>
      <c r="G23" s="2"/>
      <c r="H23" s="2">
        <v>355.4</v>
      </c>
      <c r="I23" s="2">
        <v>32.58</v>
      </c>
      <c r="J23" s="5">
        <f t="shared" si="0"/>
        <v>11578.931999999999</v>
      </c>
      <c r="K23" s="5"/>
      <c r="L23" s="2">
        <v>26.23</v>
      </c>
      <c r="M23" s="2">
        <f t="shared" si="1"/>
        <v>9322.1419999999998</v>
      </c>
    </row>
    <row r="24" spans="1:14">
      <c r="A24" s="2" t="s">
        <v>17</v>
      </c>
      <c r="B24" s="2">
        <v>14</v>
      </c>
      <c r="C24" s="2">
        <v>18</v>
      </c>
      <c r="D24" s="2"/>
      <c r="E24" s="2">
        <v>719.52</v>
      </c>
      <c r="F24" s="2"/>
      <c r="G24" s="2"/>
      <c r="H24" s="2">
        <v>719.52</v>
      </c>
      <c r="I24" s="2">
        <v>32.58</v>
      </c>
      <c r="J24" s="5">
        <f t="shared" si="0"/>
        <v>23441.961599999999</v>
      </c>
      <c r="K24" s="5"/>
      <c r="L24" s="2">
        <v>30.52</v>
      </c>
      <c r="M24" s="2">
        <f t="shared" si="1"/>
        <v>21959.750400000001</v>
      </c>
    </row>
    <row r="25" spans="1:14">
      <c r="A25" s="2" t="s">
        <v>17</v>
      </c>
      <c r="B25" s="2">
        <v>16</v>
      </c>
      <c r="C25" s="2">
        <v>16</v>
      </c>
      <c r="D25" s="2"/>
      <c r="E25" s="2">
        <v>728.2</v>
      </c>
      <c r="F25" s="2"/>
      <c r="G25" s="2"/>
      <c r="H25" s="2">
        <v>728.2</v>
      </c>
      <c r="I25" s="2">
        <v>32.58</v>
      </c>
      <c r="J25" s="5">
        <f t="shared" si="0"/>
        <v>23724.756000000001</v>
      </c>
      <c r="K25" s="5"/>
      <c r="L25" s="2">
        <v>30.52</v>
      </c>
      <c r="M25" s="2">
        <f t="shared" si="1"/>
        <v>22224.664000000001</v>
      </c>
    </row>
    <row r="26" spans="1:14">
      <c r="A26" s="2" t="s">
        <v>17</v>
      </c>
      <c r="B26" s="2">
        <v>18</v>
      </c>
      <c r="C26" s="2">
        <v>16</v>
      </c>
      <c r="D26" s="2"/>
      <c r="E26" s="2">
        <v>738.6</v>
      </c>
      <c r="F26" s="2"/>
      <c r="G26" s="2"/>
      <c r="H26" s="2">
        <v>738.6</v>
      </c>
      <c r="I26" s="2">
        <v>32.58</v>
      </c>
      <c r="J26" s="5">
        <f t="shared" si="0"/>
        <v>24063.588</v>
      </c>
      <c r="K26" s="5"/>
      <c r="L26" s="2">
        <v>30.52</v>
      </c>
      <c r="M26" s="2">
        <f t="shared" si="1"/>
        <v>22542.072</v>
      </c>
    </row>
    <row r="27" spans="1:14">
      <c r="A27" s="2" t="s">
        <v>17</v>
      </c>
      <c r="B27" s="2">
        <v>20</v>
      </c>
      <c r="C27" s="2">
        <v>17</v>
      </c>
      <c r="D27" s="2"/>
      <c r="E27" s="2">
        <v>721.8</v>
      </c>
      <c r="F27" s="2"/>
      <c r="G27" s="2"/>
      <c r="H27" s="2">
        <v>721.8</v>
      </c>
      <c r="I27" s="2">
        <v>32.58</v>
      </c>
      <c r="J27" s="5">
        <f t="shared" si="0"/>
        <v>23516.243999999999</v>
      </c>
      <c r="K27" s="5"/>
      <c r="L27" s="2">
        <v>30.52</v>
      </c>
      <c r="M27" s="2">
        <f t="shared" si="1"/>
        <v>22029.335999999999</v>
      </c>
    </row>
    <row r="28" spans="1:14">
      <c r="A28" s="2" t="s">
        <v>17</v>
      </c>
      <c r="B28" s="2" t="s">
        <v>18</v>
      </c>
      <c r="C28" s="2">
        <v>16</v>
      </c>
      <c r="D28" s="2"/>
      <c r="E28" s="2">
        <v>783.1</v>
      </c>
      <c r="F28" s="2"/>
      <c r="G28" s="2"/>
      <c r="H28" s="2">
        <v>783.1</v>
      </c>
      <c r="I28" s="2">
        <v>32.58</v>
      </c>
      <c r="J28" s="5">
        <f t="shared" si="0"/>
        <v>25513.398000000001</v>
      </c>
      <c r="K28" s="5"/>
      <c r="L28" s="2">
        <v>26.23</v>
      </c>
      <c r="M28" s="2">
        <f t="shared" si="1"/>
        <v>20540.713</v>
      </c>
    </row>
    <row r="29" spans="1:14">
      <c r="A29" s="2" t="s">
        <v>19</v>
      </c>
      <c r="B29" s="2">
        <v>2</v>
      </c>
      <c r="C29" s="2">
        <v>4</v>
      </c>
      <c r="D29" s="2"/>
      <c r="E29" s="2">
        <v>222.1</v>
      </c>
      <c r="F29" s="2"/>
      <c r="G29" s="2"/>
      <c r="H29" s="2">
        <v>222.1</v>
      </c>
      <c r="I29" s="2">
        <v>32.58</v>
      </c>
      <c r="J29" s="5">
        <f t="shared" si="0"/>
        <v>7236.0179999999991</v>
      </c>
      <c r="K29" s="5"/>
      <c r="L29" s="2">
        <v>16.77</v>
      </c>
      <c r="M29" s="2">
        <f t="shared" si="1"/>
        <v>3724.6169999999997</v>
      </c>
    </row>
    <row r="30" spans="1:14">
      <c r="A30" s="2" t="s">
        <v>19</v>
      </c>
      <c r="B30" s="2" t="s">
        <v>6</v>
      </c>
      <c r="C30" s="2">
        <v>120</v>
      </c>
      <c r="D30" s="2"/>
      <c r="E30" s="2">
        <v>5120.2</v>
      </c>
      <c r="F30" s="2">
        <v>5120.2</v>
      </c>
      <c r="G30" s="2"/>
      <c r="H30" s="2"/>
      <c r="I30" s="2">
        <v>21.8</v>
      </c>
      <c r="J30" s="5">
        <f t="shared" si="0"/>
        <v>111620.36</v>
      </c>
      <c r="K30" s="5"/>
      <c r="L30" s="2">
        <v>17.57</v>
      </c>
      <c r="M30" s="2">
        <f t="shared" si="1"/>
        <v>89961.914000000004</v>
      </c>
    </row>
    <row r="31" spans="1:14">
      <c r="A31" s="2" t="s">
        <v>19</v>
      </c>
      <c r="B31" s="2" t="s">
        <v>9</v>
      </c>
      <c r="C31" s="2">
        <v>59</v>
      </c>
      <c r="D31" s="2"/>
      <c r="E31" s="2">
        <v>2514.5</v>
      </c>
      <c r="F31" s="2">
        <v>2514.5</v>
      </c>
      <c r="G31" s="2"/>
      <c r="H31" s="2"/>
      <c r="I31" s="2">
        <v>21.8</v>
      </c>
      <c r="J31" s="5">
        <f t="shared" si="0"/>
        <v>54816.1</v>
      </c>
      <c r="K31" s="5"/>
      <c r="L31" s="2">
        <v>17.57</v>
      </c>
      <c r="M31" s="2">
        <f t="shared" si="1"/>
        <v>44179.764999999999</v>
      </c>
    </row>
    <row r="32" spans="1:14">
      <c r="A32" s="2" t="s">
        <v>19</v>
      </c>
      <c r="B32" s="2" t="s">
        <v>11</v>
      </c>
      <c r="C32" s="2">
        <v>60</v>
      </c>
      <c r="D32" s="2"/>
      <c r="E32" s="2">
        <v>2564.1999999999998</v>
      </c>
      <c r="F32" s="2">
        <v>2564.1999999999998</v>
      </c>
      <c r="G32" s="2"/>
      <c r="H32" s="2"/>
      <c r="I32" s="2">
        <v>21.8</v>
      </c>
      <c r="J32" s="5">
        <f t="shared" si="0"/>
        <v>55899.56</v>
      </c>
      <c r="K32" s="5"/>
      <c r="L32" s="2">
        <v>17.57</v>
      </c>
      <c r="M32" s="2">
        <f t="shared" si="1"/>
        <v>45052.993999999999</v>
      </c>
    </row>
    <row r="33" spans="1:17">
      <c r="A33" s="2" t="s">
        <v>19</v>
      </c>
      <c r="B33" s="2" t="s">
        <v>7</v>
      </c>
      <c r="C33" s="2">
        <v>62</v>
      </c>
      <c r="D33" s="2"/>
      <c r="E33" s="2">
        <v>2637.5</v>
      </c>
      <c r="F33" s="2">
        <v>2637.5</v>
      </c>
      <c r="G33" s="2"/>
      <c r="H33" s="2"/>
      <c r="I33" s="2">
        <v>21.8</v>
      </c>
      <c r="J33" s="5">
        <f t="shared" si="0"/>
        <v>57497.5</v>
      </c>
      <c r="K33" s="5"/>
      <c r="L33" s="2">
        <v>17.57</v>
      </c>
      <c r="M33" s="2">
        <f t="shared" si="1"/>
        <v>46340.875</v>
      </c>
    </row>
    <row r="34" spans="1:17">
      <c r="A34" s="2" t="s">
        <v>19</v>
      </c>
      <c r="B34" s="2" t="s">
        <v>20</v>
      </c>
      <c r="C34" s="2">
        <v>114</v>
      </c>
      <c r="D34" s="2"/>
      <c r="E34" s="2">
        <v>2334.8000000000002</v>
      </c>
      <c r="F34" s="2">
        <v>2334.8000000000002</v>
      </c>
      <c r="G34" s="2"/>
      <c r="H34" s="2"/>
      <c r="I34" s="2">
        <v>21.8</v>
      </c>
      <c r="J34" s="5">
        <f t="shared" si="0"/>
        <v>50898.640000000007</v>
      </c>
      <c r="K34" s="5"/>
      <c r="L34" s="2">
        <v>17.57</v>
      </c>
      <c r="M34" s="2">
        <f t="shared" si="1"/>
        <v>41022.436000000002</v>
      </c>
      <c r="N34">
        <v>32.58</v>
      </c>
      <c r="O34">
        <f>N34*E34</f>
        <v>76067.784</v>
      </c>
    </row>
    <row r="35" spans="1:17">
      <c r="A35" s="2" t="s">
        <v>19</v>
      </c>
      <c r="B35" s="2" t="s">
        <v>21</v>
      </c>
      <c r="C35" s="2">
        <v>122</v>
      </c>
      <c r="D35" s="2"/>
      <c r="E35" s="2">
        <v>2348.9</v>
      </c>
      <c r="F35" s="2">
        <v>2348.9</v>
      </c>
      <c r="G35" s="2"/>
      <c r="H35" s="2"/>
      <c r="I35" s="2">
        <v>21.8</v>
      </c>
      <c r="J35" s="5">
        <f t="shared" si="0"/>
        <v>51206.020000000004</v>
      </c>
      <c r="K35" s="5"/>
      <c r="L35" s="2">
        <v>17.57</v>
      </c>
      <c r="M35" s="2">
        <f t="shared" si="1"/>
        <v>41270.173000000003</v>
      </c>
      <c r="N35">
        <v>32.58</v>
      </c>
      <c r="O35">
        <f>N35*E35</f>
        <v>76527.161999999997</v>
      </c>
    </row>
    <row r="36" spans="1:17">
      <c r="A36" s="2" t="s">
        <v>19</v>
      </c>
      <c r="B36" s="2" t="s">
        <v>3</v>
      </c>
      <c r="C36" s="2">
        <v>60</v>
      </c>
      <c r="D36" s="2"/>
      <c r="E36" s="2">
        <v>3230.36</v>
      </c>
      <c r="F36" s="2">
        <v>3230.36</v>
      </c>
      <c r="G36" s="2"/>
      <c r="H36" s="2"/>
      <c r="I36" s="2">
        <v>21.8</v>
      </c>
      <c r="J36" s="5">
        <f t="shared" si="0"/>
        <v>70421.847999999998</v>
      </c>
      <c r="K36" s="5"/>
      <c r="L36" s="2">
        <v>17.57</v>
      </c>
      <c r="M36" s="2">
        <f t="shared" si="1"/>
        <v>56757.425200000005</v>
      </c>
    </row>
    <row r="37" spans="1:17">
      <c r="A37" s="2" t="s">
        <v>19</v>
      </c>
      <c r="B37" s="2" t="s">
        <v>22</v>
      </c>
      <c r="C37" s="2">
        <v>70</v>
      </c>
      <c r="D37" s="2"/>
      <c r="E37" s="2">
        <v>2360.1</v>
      </c>
      <c r="F37" s="2">
        <v>2360.1</v>
      </c>
      <c r="G37" s="2"/>
      <c r="H37" s="2"/>
      <c r="I37" s="2">
        <v>21.8</v>
      </c>
      <c r="J37" s="5">
        <f t="shared" si="0"/>
        <v>51450.18</v>
      </c>
      <c r="K37" s="5"/>
      <c r="L37" s="2">
        <v>17.57</v>
      </c>
      <c r="M37" s="2">
        <f t="shared" si="1"/>
        <v>41466.957000000002</v>
      </c>
    </row>
    <row r="38" spans="1:17">
      <c r="A38" s="2" t="s">
        <v>23</v>
      </c>
      <c r="B38" s="2" t="s">
        <v>24</v>
      </c>
      <c r="C38" s="2">
        <v>24</v>
      </c>
      <c r="D38" s="2"/>
      <c r="E38" s="2">
        <v>1236.4000000000001</v>
      </c>
      <c r="F38" s="2"/>
      <c r="G38" s="2"/>
      <c r="H38" s="2">
        <v>1236.4000000000001</v>
      </c>
      <c r="I38" s="5">
        <v>32.58</v>
      </c>
      <c r="J38" s="5">
        <f t="shared" si="0"/>
        <v>40281.912000000004</v>
      </c>
      <c r="K38" s="5"/>
      <c r="L38" s="2">
        <v>30.52</v>
      </c>
      <c r="M38" s="2">
        <f t="shared" si="1"/>
        <v>37734.928</v>
      </c>
    </row>
    <row r="39" spans="1:17">
      <c r="A39" s="3" t="s">
        <v>33</v>
      </c>
      <c r="B39" s="3"/>
      <c r="C39" s="3">
        <v>1902</v>
      </c>
      <c r="D39" s="3"/>
      <c r="E39" s="3">
        <f>SUM(E5:E38)</f>
        <v>48190.810000000005</v>
      </c>
      <c r="F39" s="3">
        <f>SUM(F5:F38)</f>
        <v>30889.06</v>
      </c>
      <c r="G39" s="3">
        <f>SUM(G5:G38)</f>
        <v>9956.0299999999988</v>
      </c>
      <c r="H39" s="3">
        <f>SUM(H5:H38)</f>
        <v>7345.7200000000012</v>
      </c>
      <c r="I39" s="2"/>
      <c r="J39" s="5">
        <f>SUM(J5:J38)</f>
        <v>1106847.6506000001</v>
      </c>
      <c r="K39" s="5"/>
      <c r="L39" s="2"/>
      <c r="M39" s="2">
        <f>SUM(M5:M38)</f>
        <v>925646.14370000002</v>
      </c>
      <c r="O39">
        <f>SUM(O34:O38)</f>
        <v>152594.946</v>
      </c>
      <c r="Q39">
        <f>M39+O39</f>
        <v>1078241.0896999999</v>
      </c>
    </row>
    <row r="40" spans="1:17">
      <c r="F40">
        <f>F39*18.85*12/1000</f>
        <v>6987.1053720000018</v>
      </c>
      <c r="G40">
        <f>G39*17.83*12/1000</f>
        <v>2130.1921787999995</v>
      </c>
      <c r="H40">
        <f>H39*30.24*12/1000</f>
        <v>2665.6148736000005</v>
      </c>
      <c r="J40">
        <v>1187421.55</v>
      </c>
    </row>
    <row r="41" spans="1:17">
      <c r="H41">
        <f>F40+G40+H40</f>
        <v>11782.912424400001</v>
      </c>
      <c r="J41" s="4">
        <f>J39-J40</f>
        <v>-80573.899399999995</v>
      </c>
      <c r="K41" s="4"/>
    </row>
    <row r="42" spans="1:17">
      <c r="J42">
        <f>J39*12</f>
        <v>13282171.8072</v>
      </c>
    </row>
    <row r="43" spans="1:17">
      <c r="A43" t="s">
        <v>34</v>
      </c>
      <c r="C43">
        <f>F39</f>
        <v>30889.06</v>
      </c>
      <c r="J43">
        <v>1053641</v>
      </c>
    </row>
    <row r="44" spans="1:17">
      <c r="A44" t="s">
        <v>35</v>
      </c>
      <c r="C44">
        <f>G39</f>
        <v>9956.0299999999988</v>
      </c>
      <c r="J44">
        <v>13275885</v>
      </c>
    </row>
    <row r="45" spans="1:17">
      <c r="A45" t="s">
        <v>36</v>
      </c>
      <c r="C45">
        <f>H39</f>
        <v>7345.7200000000012</v>
      </c>
      <c r="J45">
        <f>J42-J44</f>
        <v>6286.8071999996901</v>
      </c>
    </row>
    <row r="46" spans="1:17">
      <c r="A46" t="s">
        <v>46</v>
      </c>
      <c r="C46">
        <v>783.1</v>
      </c>
    </row>
    <row r="48" spans="1:17">
      <c r="A48" t="s">
        <v>40</v>
      </c>
      <c r="C48">
        <f>C43+E38</f>
        <v>32125.460000000003</v>
      </c>
    </row>
    <row r="51" spans="1:10">
      <c r="A51" t="s">
        <v>41</v>
      </c>
      <c r="C51">
        <v>8477.7000000000007</v>
      </c>
      <c r="H51">
        <v>92</v>
      </c>
      <c r="I51">
        <f>(15383.4/12-209.8)/(48190.81+962.3)*1000</f>
        <v>21.812455000304155</v>
      </c>
    </row>
    <row r="52" spans="1:10">
      <c r="A52" t="s">
        <v>42</v>
      </c>
      <c r="C52">
        <f>658.84-52.9</f>
        <v>605.94000000000005</v>
      </c>
      <c r="E52">
        <f>C52/C45/7*1000</f>
        <v>11.784121521492398</v>
      </c>
      <c r="G52">
        <f>C52*1.18</f>
        <v>715.00920000000008</v>
      </c>
      <c r="H52">
        <f>G52/7</f>
        <v>102.14417142857144</v>
      </c>
    </row>
    <row r="53" spans="1:10">
      <c r="A53" t="s">
        <v>45</v>
      </c>
      <c r="C53">
        <v>52.9</v>
      </c>
      <c r="E53">
        <f>C53*1000/C46/7</f>
        <v>9.6502909681303244</v>
      </c>
      <c r="G53">
        <f>C53*1.18</f>
        <v>62.421999999999997</v>
      </c>
      <c r="H53">
        <f>G53/7</f>
        <v>8.9174285714285713</v>
      </c>
    </row>
    <row r="54" spans="1:10">
      <c r="A54" t="s">
        <v>43</v>
      </c>
      <c r="C54">
        <f>(409.8+145.2)+14*7</f>
        <v>653</v>
      </c>
      <c r="E54">
        <f>C54*1000/E39/7</f>
        <v>1.93575734223422</v>
      </c>
      <c r="H54">
        <f>0.25*7.8*1.12*1.342</f>
        <v>2.9309280000000002</v>
      </c>
    </row>
    <row r="55" spans="1:10">
      <c r="A55" t="s">
        <v>47</v>
      </c>
      <c r="C55">
        <v>759.11</v>
      </c>
      <c r="E55">
        <f>C55*1000/C48/7</f>
        <v>3.3756492736379715</v>
      </c>
      <c r="G55">
        <f>10*7.8*1.12*1.342</f>
        <v>117.23712000000002</v>
      </c>
      <c r="H55">
        <f>G55*1000/C43</f>
        <v>3.7954253059173708</v>
      </c>
    </row>
    <row r="56" spans="1:10">
      <c r="H56">
        <f>SUM(H51:H55)</f>
        <v>209.78795330591737</v>
      </c>
    </row>
    <row r="57" spans="1:10" ht="53.25" customHeight="1">
      <c r="C57" s="53" t="s">
        <v>123</v>
      </c>
      <c r="D57" s="53"/>
      <c r="E57" s="53"/>
    </row>
    <row r="58" spans="1:10" ht="53.25" customHeight="1">
      <c r="A58" s="39"/>
      <c r="B58" s="54" t="s">
        <v>158</v>
      </c>
      <c r="C58" s="54"/>
      <c r="D58" s="54"/>
      <c r="E58" s="54"/>
    </row>
    <row r="59" spans="1:10" ht="53.25" customHeight="1">
      <c r="A59" s="55" t="s">
        <v>145</v>
      </c>
      <c r="B59" s="55"/>
      <c r="C59" s="55"/>
      <c r="D59" s="55"/>
      <c r="E59" s="55"/>
    </row>
    <row r="60" spans="1:10" ht="97.5" customHeight="1">
      <c r="A60" s="40" t="s">
        <v>141</v>
      </c>
      <c r="B60" s="41" t="s">
        <v>142</v>
      </c>
      <c r="C60" s="40" t="s">
        <v>170</v>
      </c>
      <c r="D60" s="40" t="s">
        <v>171</v>
      </c>
      <c r="E60" s="40" t="s">
        <v>144</v>
      </c>
      <c r="J60">
        <v>721.62</v>
      </c>
    </row>
    <row r="61" spans="1:10" ht="15.75">
      <c r="A61" s="56" t="s">
        <v>180</v>
      </c>
      <c r="B61" s="42" t="s">
        <v>165</v>
      </c>
      <c r="C61" s="48">
        <f>J60*12*D61+0.01</f>
        <v>157082.25160000002</v>
      </c>
      <c r="D61" s="42">
        <v>18.14</v>
      </c>
      <c r="E61" s="43">
        <v>14.78</v>
      </c>
      <c r="F61" s="4"/>
      <c r="J61" t="s">
        <v>120</v>
      </c>
    </row>
    <row r="62" spans="1:10" ht="15.75">
      <c r="A62" s="57"/>
      <c r="B62" s="42" t="s">
        <v>172</v>
      </c>
      <c r="C62" s="48">
        <f>D62*J60*12</f>
        <v>23726.865600000001</v>
      </c>
      <c r="D62" s="42">
        <v>2.74</v>
      </c>
      <c r="E62" s="44">
        <v>2.74</v>
      </c>
      <c r="F62" s="4"/>
      <c r="G62">
        <v>1.94</v>
      </c>
      <c r="I62">
        <v>18.850000000000001</v>
      </c>
    </row>
    <row r="63" spans="1:10" ht="15.75">
      <c r="A63" s="57"/>
      <c r="B63" s="42" t="s">
        <v>173</v>
      </c>
      <c r="C63" s="48">
        <f>J60*12*D63</f>
        <v>107463.65040000001</v>
      </c>
      <c r="D63" s="42">
        <v>12.41</v>
      </c>
      <c r="E63" s="43">
        <v>12.41</v>
      </c>
      <c r="F63" s="4"/>
      <c r="G63">
        <v>11.78</v>
      </c>
    </row>
    <row r="64" spans="1:10" ht="15.75">
      <c r="A64" s="57"/>
      <c r="B64" s="42" t="s">
        <v>174</v>
      </c>
      <c r="C64" s="48">
        <f>J60*12*D64</f>
        <v>2684.4264000000003</v>
      </c>
      <c r="D64" s="42">
        <v>0.31</v>
      </c>
      <c r="E64" s="43">
        <v>0.31</v>
      </c>
      <c r="F64" s="4"/>
    </row>
    <row r="65" spans="1:7" ht="15.75">
      <c r="A65" s="58"/>
      <c r="B65" s="42"/>
      <c r="C65" s="49">
        <f>SUM(C61:C64)</f>
        <v>290957.19400000002</v>
      </c>
      <c r="D65" s="45">
        <f>D64+D63+D62+D61</f>
        <v>33.6</v>
      </c>
      <c r="E65" s="46">
        <v>30.24</v>
      </c>
      <c r="F65" s="4">
        <f>E65/C65</f>
        <v>1.0393281425445696E-4</v>
      </c>
      <c r="G65">
        <f>D65/C65</f>
        <v>1.154809047271744E-4</v>
      </c>
    </row>
    <row r="66" spans="1:7" ht="15.75">
      <c r="A66" s="39"/>
      <c r="B66" s="39"/>
      <c r="C66" s="39"/>
      <c r="D66" s="39"/>
      <c r="E66" s="39"/>
    </row>
    <row r="67" spans="1:7" ht="15.75">
      <c r="A67" s="59" t="s">
        <v>125</v>
      </c>
      <c r="B67" s="59"/>
      <c r="C67" s="59"/>
      <c r="D67" s="59"/>
      <c r="E67" s="59"/>
      <c r="G67">
        <v>1053640</v>
      </c>
    </row>
    <row r="68" spans="1:7" ht="22.5" customHeight="1">
      <c r="A68" s="50" t="s">
        <v>159</v>
      </c>
      <c r="B68" s="50"/>
      <c r="C68" s="50"/>
      <c r="D68" s="50"/>
      <c r="E68" s="50"/>
    </row>
    <row r="69" spans="1:7" ht="15.75">
      <c r="A69" s="50" t="s">
        <v>160</v>
      </c>
      <c r="B69" s="50"/>
      <c r="C69" s="50"/>
      <c r="D69" s="50"/>
      <c r="E69" s="50"/>
    </row>
    <row r="70" spans="1:7" ht="15.75">
      <c r="A70" s="50" t="s">
        <v>161</v>
      </c>
      <c r="B70" s="50"/>
      <c r="C70" s="50"/>
      <c r="D70" s="50"/>
      <c r="E70" s="50"/>
    </row>
    <row r="71" spans="1:7" ht="15.75">
      <c r="A71" s="50" t="s">
        <v>162</v>
      </c>
      <c r="B71" s="50"/>
      <c r="C71" s="50"/>
      <c r="D71" s="50"/>
      <c r="E71" s="50"/>
    </row>
    <row r="72" spans="1:7" ht="25.5" customHeight="1">
      <c r="A72" s="50" t="s">
        <v>163</v>
      </c>
      <c r="B72" s="50"/>
      <c r="C72" s="50"/>
      <c r="D72" s="50"/>
      <c r="E72" s="50"/>
    </row>
    <row r="73" spans="1:7" ht="15.75">
      <c r="A73" s="50" t="s">
        <v>164</v>
      </c>
      <c r="B73" s="50"/>
      <c r="C73" s="50"/>
      <c r="D73" s="50"/>
      <c r="E73" s="50"/>
    </row>
    <row r="74" spans="1:7" ht="15.75">
      <c r="A74" s="50" t="s">
        <v>166</v>
      </c>
      <c r="B74" s="50"/>
      <c r="C74" s="50"/>
      <c r="D74" s="50"/>
      <c r="E74" s="50"/>
    </row>
    <row r="75" spans="1:7" ht="32.25" customHeight="1">
      <c r="A75" s="50" t="s">
        <v>167</v>
      </c>
      <c r="B75" s="50"/>
      <c r="C75" s="50"/>
      <c r="D75" s="50"/>
      <c r="E75" s="50"/>
    </row>
    <row r="76" spans="1:7" ht="33" customHeight="1">
      <c r="A76" s="50" t="s">
        <v>181</v>
      </c>
      <c r="B76" s="50"/>
      <c r="C76" s="50"/>
      <c r="D76" s="50"/>
      <c r="E76" s="50"/>
    </row>
    <row r="77" spans="1:7" ht="15.75">
      <c r="A77" s="47"/>
      <c r="B77" s="47"/>
      <c r="C77" s="47"/>
      <c r="D77" s="47"/>
      <c r="E77" s="47"/>
    </row>
    <row r="78" spans="1:7" ht="15.75">
      <c r="A78" s="51" t="s">
        <v>169</v>
      </c>
      <c r="B78" s="51"/>
      <c r="C78" s="51"/>
      <c r="D78" s="51"/>
      <c r="E78" s="51"/>
    </row>
  </sheetData>
  <mergeCells count="21">
    <mergeCell ref="A75:E75"/>
    <mergeCell ref="A76:E76"/>
    <mergeCell ref="A78:E78"/>
    <mergeCell ref="A69:E69"/>
    <mergeCell ref="A70:E70"/>
    <mergeCell ref="A71:E71"/>
    <mergeCell ref="A72:E72"/>
    <mergeCell ref="A73:E73"/>
    <mergeCell ref="A74:E74"/>
    <mergeCell ref="C57:E57"/>
    <mergeCell ref="B58:E58"/>
    <mergeCell ref="A59:E59"/>
    <mergeCell ref="A61:A65"/>
    <mergeCell ref="A67:E67"/>
    <mergeCell ref="A68:E68"/>
    <mergeCell ref="A3:A4"/>
    <mergeCell ref="B3:B4"/>
    <mergeCell ref="C3:C4"/>
    <mergeCell ref="E3:G3"/>
    <mergeCell ref="I3:I4"/>
    <mergeCell ref="J3:J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topLeftCell="A59" workbookViewId="0">
      <selection activeCell="A58" sqref="A58:E80"/>
    </sheetView>
  </sheetViews>
  <sheetFormatPr defaultRowHeight="15"/>
  <cols>
    <col min="1" max="1" width="23.5703125" customWidth="1"/>
    <col min="2" max="2" width="24.28515625" customWidth="1"/>
    <col min="3" max="3" width="15.140625" customWidth="1"/>
    <col min="4" max="4" width="16" customWidth="1"/>
    <col min="5" max="5" width="11" customWidth="1"/>
    <col min="10" max="10" width="25.42578125" customWidth="1"/>
    <col min="11" max="11" width="12.42578125" customWidth="1"/>
  </cols>
  <sheetData>
    <row r="1" spans="1:14">
      <c r="B1" t="s">
        <v>25</v>
      </c>
    </row>
    <row r="2" spans="1:14">
      <c r="A2" t="s">
        <v>26</v>
      </c>
      <c r="I2" t="s">
        <v>94</v>
      </c>
    </row>
    <row r="3" spans="1:14">
      <c r="A3" s="60" t="s">
        <v>27</v>
      </c>
      <c r="B3" s="60" t="s">
        <v>28</v>
      </c>
      <c r="C3" s="61" t="s">
        <v>29</v>
      </c>
      <c r="D3" s="35"/>
      <c r="E3" s="63" t="s">
        <v>30</v>
      </c>
      <c r="F3" s="63"/>
      <c r="G3" s="63"/>
      <c r="H3" s="36" t="s">
        <v>32</v>
      </c>
      <c r="I3" s="64" t="s">
        <v>59</v>
      </c>
      <c r="J3" s="64" t="s">
        <v>60</v>
      </c>
      <c r="K3" s="15"/>
    </row>
    <row r="4" spans="1:14">
      <c r="A4" s="60"/>
      <c r="B4" s="60"/>
      <c r="C4" s="62"/>
      <c r="D4" s="35"/>
      <c r="E4" s="36" t="s">
        <v>31</v>
      </c>
      <c r="F4" s="36" t="s">
        <v>37</v>
      </c>
      <c r="G4" s="36" t="s">
        <v>38</v>
      </c>
      <c r="H4" s="36" t="s">
        <v>39</v>
      </c>
      <c r="I4" s="65"/>
      <c r="J4" s="65"/>
      <c r="K4" s="15"/>
      <c r="L4" s="6">
        <v>0.1</v>
      </c>
    </row>
    <row r="5" spans="1:14">
      <c r="A5" s="2" t="s">
        <v>0</v>
      </c>
      <c r="B5" s="2">
        <v>1</v>
      </c>
      <c r="C5" s="2">
        <v>16</v>
      </c>
      <c r="D5" s="2"/>
      <c r="E5" s="2">
        <v>739</v>
      </c>
      <c r="F5" s="2"/>
      <c r="G5" s="2"/>
      <c r="H5" s="2">
        <v>739</v>
      </c>
      <c r="I5" s="5">
        <v>32.58</v>
      </c>
      <c r="J5" s="5">
        <f>I5*E5</f>
        <v>24076.62</v>
      </c>
      <c r="K5" s="5">
        <v>27.74</v>
      </c>
      <c r="L5" s="2">
        <v>30.52</v>
      </c>
      <c r="M5" s="2">
        <f>L5*E5</f>
        <v>22554.28</v>
      </c>
      <c r="N5">
        <f>I5/K5</f>
        <v>1.174477289113194</v>
      </c>
    </row>
    <row r="6" spans="1:14">
      <c r="A6" s="2" t="s">
        <v>0</v>
      </c>
      <c r="B6" s="2">
        <v>2</v>
      </c>
      <c r="C6" s="2">
        <v>18</v>
      </c>
      <c r="D6" s="2"/>
      <c r="E6" s="2">
        <v>879.2</v>
      </c>
      <c r="F6" s="2"/>
      <c r="G6" s="2"/>
      <c r="H6" s="2">
        <v>879.2</v>
      </c>
      <c r="I6" s="2">
        <v>32.58</v>
      </c>
      <c r="J6" s="5">
        <f t="shared" ref="J6:J38" si="0">I6*E6</f>
        <v>28644.335999999999</v>
      </c>
      <c r="K6" s="5"/>
      <c r="L6" s="2">
        <v>30.52</v>
      </c>
      <c r="M6" s="2">
        <f t="shared" ref="M6:M38" si="1">L6*E6</f>
        <v>26833.184000000001</v>
      </c>
    </row>
    <row r="7" spans="1:14">
      <c r="A7" s="2" t="s">
        <v>1</v>
      </c>
      <c r="B7" s="2" t="s">
        <v>2</v>
      </c>
      <c r="C7" s="2">
        <v>25</v>
      </c>
      <c r="D7" s="2"/>
      <c r="E7" s="2">
        <v>1599</v>
      </c>
      <c r="F7" s="2"/>
      <c r="G7" s="2">
        <v>1599</v>
      </c>
      <c r="H7" s="2"/>
      <c r="I7" s="2">
        <v>19.5</v>
      </c>
      <c r="J7" s="5">
        <f t="shared" si="0"/>
        <v>31180.5</v>
      </c>
      <c r="K7" s="5">
        <v>15.24</v>
      </c>
      <c r="L7" s="2">
        <v>16.77</v>
      </c>
      <c r="M7" s="2">
        <f t="shared" si="1"/>
        <v>26815.23</v>
      </c>
      <c r="N7">
        <f>I7/K7</f>
        <v>1.2795275590551181</v>
      </c>
    </row>
    <row r="8" spans="1:14">
      <c r="A8" s="2" t="s">
        <v>1</v>
      </c>
      <c r="B8" s="2" t="s">
        <v>3</v>
      </c>
      <c r="C8" s="2">
        <v>24</v>
      </c>
      <c r="D8" s="2"/>
      <c r="E8" s="2">
        <v>1256</v>
      </c>
      <c r="F8" s="2"/>
      <c r="G8" s="2">
        <v>1256</v>
      </c>
      <c r="H8" s="2"/>
      <c r="I8" s="2">
        <v>19.5</v>
      </c>
      <c r="J8" s="5">
        <f t="shared" si="0"/>
        <v>24492</v>
      </c>
      <c r="K8" s="5"/>
      <c r="L8" s="2">
        <v>16.77</v>
      </c>
      <c r="M8" s="2">
        <f t="shared" si="1"/>
        <v>21063.119999999999</v>
      </c>
    </row>
    <row r="9" spans="1:14">
      <c r="A9" s="2" t="s">
        <v>1</v>
      </c>
      <c r="B9" s="2" t="s">
        <v>4</v>
      </c>
      <c r="C9" s="2">
        <v>16</v>
      </c>
      <c r="D9" s="2"/>
      <c r="E9" s="2">
        <v>571.20000000000005</v>
      </c>
      <c r="F9" s="2"/>
      <c r="G9" s="2">
        <v>571.20000000000005</v>
      </c>
      <c r="H9" s="2"/>
      <c r="I9" s="2">
        <v>19.5</v>
      </c>
      <c r="J9" s="5">
        <f t="shared" si="0"/>
        <v>11138.400000000001</v>
      </c>
      <c r="K9" s="5"/>
      <c r="L9" s="2">
        <v>16.77</v>
      </c>
      <c r="M9" s="2">
        <f t="shared" si="1"/>
        <v>9579.0240000000013</v>
      </c>
    </row>
    <row r="10" spans="1:14">
      <c r="A10" s="2" t="s">
        <v>5</v>
      </c>
      <c r="B10" s="2">
        <v>1</v>
      </c>
      <c r="C10" s="2">
        <v>24</v>
      </c>
      <c r="D10" s="2"/>
      <c r="E10" s="2">
        <v>1064.0999999999999</v>
      </c>
      <c r="F10" s="2"/>
      <c r="G10" s="2">
        <v>1064.0999999999999</v>
      </c>
      <c r="H10" s="2"/>
      <c r="I10" s="2">
        <v>19.5</v>
      </c>
      <c r="J10" s="5">
        <f t="shared" si="0"/>
        <v>20749.949999999997</v>
      </c>
      <c r="K10" s="5"/>
      <c r="L10" s="2">
        <v>16.77</v>
      </c>
      <c r="M10" s="2">
        <f t="shared" si="1"/>
        <v>17844.956999999999</v>
      </c>
    </row>
    <row r="11" spans="1:14">
      <c r="A11" s="2" t="s">
        <v>5</v>
      </c>
      <c r="B11" s="2" t="s">
        <v>6</v>
      </c>
      <c r="C11" s="2">
        <v>16</v>
      </c>
      <c r="D11" s="2"/>
      <c r="E11" s="2">
        <v>710.6</v>
      </c>
      <c r="F11" s="2"/>
      <c r="G11" s="2">
        <v>710.6</v>
      </c>
      <c r="H11" s="2"/>
      <c r="I11" s="2">
        <v>19.5</v>
      </c>
      <c r="J11" s="5">
        <f t="shared" si="0"/>
        <v>13856.7</v>
      </c>
      <c r="K11" s="5"/>
      <c r="L11" s="2">
        <v>16.77</v>
      </c>
      <c r="M11" s="2">
        <f t="shared" si="1"/>
        <v>11916.762000000001</v>
      </c>
    </row>
    <row r="12" spans="1:14">
      <c r="A12" s="2" t="s">
        <v>5</v>
      </c>
      <c r="B12" s="2" t="s">
        <v>7</v>
      </c>
      <c r="C12" s="2">
        <v>12</v>
      </c>
      <c r="D12" s="2"/>
      <c r="E12" s="2">
        <v>690.83</v>
      </c>
      <c r="F12" s="2"/>
      <c r="G12" s="2">
        <v>690.83</v>
      </c>
      <c r="H12" s="2"/>
      <c r="I12" s="2">
        <v>19.5</v>
      </c>
      <c r="J12" s="5">
        <f t="shared" si="0"/>
        <v>13471.185000000001</v>
      </c>
      <c r="K12" s="5"/>
      <c r="L12" s="2">
        <v>16.77</v>
      </c>
      <c r="M12" s="2">
        <f t="shared" si="1"/>
        <v>11585.2191</v>
      </c>
    </row>
    <row r="13" spans="1:14">
      <c r="A13" s="2" t="s">
        <v>8</v>
      </c>
      <c r="B13" s="2" t="s">
        <v>9</v>
      </c>
      <c r="C13" s="2">
        <v>19</v>
      </c>
      <c r="D13" s="2"/>
      <c r="E13" s="2">
        <v>935.9</v>
      </c>
      <c r="F13" s="2"/>
      <c r="G13" s="2">
        <v>935.9</v>
      </c>
      <c r="H13" s="2"/>
      <c r="I13" s="2">
        <v>19.5</v>
      </c>
      <c r="J13" s="5">
        <f t="shared" si="0"/>
        <v>18250.05</v>
      </c>
      <c r="K13" s="5"/>
      <c r="L13" s="2">
        <v>16.77</v>
      </c>
      <c r="M13" s="2">
        <f t="shared" si="1"/>
        <v>15695.043</v>
      </c>
    </row>
    <row r="14" spans="1:14">
      <c r="A14" s="2" t="s">
        <v>8</v>
      </c>
      <c r="B14" s="2" t="s">
        <v>10</v>
      </c>
      <c r="C14" s="2">
        <v>19</v>
      </c>
      <c r="D14" s="2"/>
      <c r="E14" s="2">
        <v>846.9</v>
      </c>
      <c r="F14" s="2"/>
      <c r="G14" s="2">
        <v>846.9</v>
      </c>
      <c r="H14" s="2"/>
      <c r="I14" s="2">
        <v>19.5</v>
      </c>
      <c r="J14" s="5">
        <f t="shared" si="0"/>
        <v>16514.55</v>
      </c>
      <c r="K14" s="5"/>
      <c r="L14" s="2">
        <v>16.77</v>
      </c>
      <c r="M14" s="2">
        <f t="shared" si="1"/>
        <v>14202.512999999999</v>
      </c>
    </row>
    <row r="15" spans="1:14">
      <c r="A15" s="2" t="s">
        <v>8</v>
      </c>
      <c r="B15" s="2" t="s">
        <v>11</v>
      </c>
      <c r="C15" s="2">
        <v>18</v>
      </c>
      <c r="D15" s="2"/>
      <c r="E15" s="2">
        <v>899.7</v>
      </c>
      <c r="F15" s="2"/>
      <c r="G15" s="2">
        <v>899.7</v>
      </c>
      <c r="H15" s="2"/>
      <c r="I15" s="2">
        <v>19.5</v>
      </c>
      <c r="J15" s="5">
        <f t="shared" si="0"/>
        <v>17544.150000000001</v>
      </c>
      <c r="K15" s="5"/>
      <c r="L15" s="2">
        <v>16.77</v>
      </c>
      <c r="M15" s="2">
        <f t="shared" si="1"/>
        <v>15087.969000000001</v>
      </c>
    </row>
    <row r="16" spans="1:14">
      <c r="A16" s="2" t="s">
        <v>8</v>
      </c>
      <c r="B16" s="2" t="s">
        <v>12</v>
      </c>
      <c r="C16" s="2">
        <v>17</v>
      </c>
      <c r="D16" s="2"/>
      <c r="E16" s="2">
        <v>911.2</v>
      </c>
      <c r="F16" s="2"/>
      <c r="G16" s="2">
        <v>911.2</v>
      </c>
      <c r="H16" s="2"/>
      <c r="I16" s="2">
        <v>19.5</v>
      </c>
      <c r="J16" s="5">
        <f t="shared" si="0"/>
        <v>17768.400000000001</v>
      </c>
      <c r="K16" s="5"/>
      <c r="L16" s="2">
        <v>16.77</v>
      </c>
      <c r="M16" s="2">
        <f t="shared" si="1"/>
        <v>15280.824000000001</v>
      </c>
    </row>
    <row r="17" spans="1:14">
      <c r="A17" s="2" t="s">
        <v>13</v>
      </c>
      <c r="B17" s="2">
        <v>15</v>
      </c>
      <c r="C17" s="2">
        <v>60</v>
      </c>
      <c r="D17" s="2"/>
      <c r="E17" s="2">
        <v>2600</v>
      </c>
      <c r="F17" s="2">
        <v>2600</v>
      </c>
      <c r="G17" s="2"/>
      <c r="H17" s="2"/>
      <c r="I17" s="2">
        <v>21.8</v>
      </c>
      <c r="J17" s="5">
        <f t="shared" si="0"/>
        <v>56680</v>
      </c>
      <c r="K17" s="5"/>
      <c r="L17" s="2">
        <v>17.57</v>
      </c>
      <c r="M17" s="2">
        <f t="shared" si="1"/>
        <v>45682</v>
      </c>
    </row>
    <row r="18" spans="1:14">
      <c r="A18" s="2" t="s">
        <v>14</v>
      </c>
      <c r="B18" s="2" t="s">
        <v>15</v>
      </c>
      <c r="C18" s="2">
        <v>4</v>
      </c>
      <c r="D18" s="2"/>
      <c r="E18" s="2">
        <v>261.8</v>
      </c>
      <c r="F18" s="2"/>
      <c r="G18" s="2">
        <v>261.8</v>
      </c>
      <c r="H18" s="2"/>
      <c r="I18" s="2">
        <v>19.5</v>
      </c>
      <c r="J18" s="5">
        <f t="shared" si="0"/>
        <v>5105.1000000000004</v>
      </c>
      <c r="K18" s="5"/>
      <c r="L18" s="2">
        <v>15.66</v>
      </c>
      <c r="M18" s="2">
        <f t="shared" si="1"/>
        <v>4099.7880000000005</v>
      </c>
    </row>
    <row r="19" spans="1:14">
      <c r="A19" s="2" t="s">
        <v>16</v>
      </c>
      <c r="B19" s="2" t="s">
        <v>6</v>
      </c>
      <c r="C19" s="2">
        <v>60</v>
      </c>
      <c r="D19" s="2"/>
      <c r="E19" s="2">
        <v>2582.5</v>
      </c>
      <c r="F19" s="2">
        <v>2582.5</v>
      </c>
      <c r="G19" s="2"/>
      <c r="H19" s="2"/>
      <c r="I19" s="2">
        <v>21.8</v>
      </c>
      <c r="J19" s="5">
        <f t="shared" si="0"/>
        <v>56298.5</v>
      </c>
      <c r="K19" s="5">
        <v>15.97</v>
      </c>
      <c r="L19" s="2">
        <v>17.57</v>
      </c>
      <c r="M19" s="2">
        <f t="shared" si="1"/>
        <v>45374.525000000001</v>
      </c>
      <c r="N19">
        <f>I19/K19</f>
        <v>1.3650594865372574</v>
      </c>
    </row>
    <row r="20" spans="1:14">
      <c r="A20" s="2" t="s">
        <v>16</v>
      </c>
      <c r="B20" s="2" t="s">
        <v>9</v>
      </c>
      <c r="C20" s="2">
        <v>60</v>
      </c>
      <c r="D20" s="2"/>
      <c r="E20" s="2">
        <v>2596</v>
      </c>
      <c r="F20" s="2">
        <v>2596</v>
      </c>
      <c r="G20" s="2"/>
      <c r="H20" s="2"/>
      <c r="I20" s="2">
        <v>21.8</v>
      </c>
      <c r="J20" s="5">
        <f t="shared" si="0"/>
        <v>56592.800000000003</v>
      </c>
      <c r="K20" s="5"/>
      <c r="L20" s="2">
        <v>17.57</v>
      </c>
      <c r="M20" s="2">
        <f t="shared" si="1"/>
        <v>45611.72</v>
      </c>
    </row>
    <row r="21" spans="1:14">
      <c r="A21" s="2" t="s">
        <v>17</v>
      </c>
      <c r="B21" s="2" t="s">
        <v>6</v>
      </c>
      <c r="C21" s="2">
        <v>4</v>
      </c>
      <c r="D21" s="2"/>
      <c r="E21" s="2">
        <v>222.4</v>
      </c>
      <c r="F21" s="2"/>
      <c r="G21" s="2"/>
      <c r="H21" s="2">
        <v>222.4</v>
      </c>
      <c r="I21" s="2">
        <v>32.58</v>
      </c>
      <c r="J21" s="5">
        <f t="shared" si="0"/>
        <v>7245.7919999999995</v>
      </c>
      <c r="K21" s="5"/>
      <c r="L21" s="2">
        <v>30.52</v>
      </c>
      <c r="M21" s="2">
        <f t="shared" si="1"/>
        <v>6787.6480000000001</v>
      </c>
    </row>
    <row r="22" spans="1:14">
      <c r="A22" s="2" t="s">
        <v>17</v>
      </c>
      <c r="B22" s="2">
        <v>4</v>
      </c>
      <c r="C22" s="2">
        <v>4</v>
      </c>
      <c r="D22" s="2"/>
      <c r="E22" s="2">
        <v>208.8</v>
      </c>
      <c r="F22" s="2"/>
      <c r="G22" s="2">
        <v>208.8</v>
      </c>
      <c r="H22" s="2"/>
      <c r="I22" s="2">
        <v>19.5</v>
      </c>
      <c r="J22" s="5">
        <f t="shared" si="0"/>
        <v>4071.6000000000004</v>
      </c>
      <c r="K22" s="5"/>
      <c r="L22" s="2">
        <v>16.77</v>
      </c>
      <c r="M22" s="2">
        <f t="shared" si="1"/>
        <v>3501.576</v>
      </c>
    </row>
    <row r="23" spans="1:14">
      <c r="A23" s="2" t="s">
        <v>17</v>
      </c>
      <c r="B23" s="2">
        <v>6</v>
      </c>
      <c r="C23" s="2">
        <v>8</v>
      </c>
      <c r="D23" s="2"/>
      <c r="E23" s="2">
        <v>355.4</v>
      </c>
      <c r="F23" s="2"/>
      <c r="G23" s="2"/>
      <c r="H23" s="2">
        <v>355.4</v>
      </c>
      <c r="I23" s="2">
        <v>32.58</v>
      </c>
      <c r="J23" s="5">
        <f t="shared" si="0"/>
        <v>11578.931999999999</v>
      </c>
      <c r="K23" s="5"/>
      <c r="L23" s="2">
        <v>26.23</v>
      </c>
      <c r="M23" s="2">
        <f t="shared" si="1"/>
        <v>9322.1419999999998</v>
      </c>
    </row>
    <row r="24" spans="1:14">
      <c r="A24" s="2" t="s">
        <v>17</v>
      </c>
      <c r="B24" s="2">
        <v>14</v>
      </c>
      <c r="C24" s="2">
        <v>18</v>
      </c>
      <c r="D24" s="2"/>
      <c r="E24" s="2">
        <v>719.52</v>
      </c>
      <c r="F24" s="2"/>
      <c r="G24" s="2"/>
      <c r="H24" s="2">
        <v>719.52</v>
      </c>
      <c r="I24" s="2">
        <v>32.58</v>
      </c>
      <c r="J24" s="5">
        <f t="shared" si="0"/>
        <v>23441.961599999999</v>
      </c>
      <c r="K24" s="5"/>
      <c r="L24" s="2">
        <v>30.52</v>
      </c>
      <c r="M24" s="2">
        <f t="shared" si="1"/>
        <v>21959.750400000001</v>
      </c>
    </row>
    <row r="25" spans="1:14">
      <c r="A25" s="2" t="s">
        <v>17</v>
      </c>
      <c r="B25" s="2">
        <v>16</v>
      </c>
      <c r="C25" s="2">
        <v>16</v>
      </c>
      <c r="D25" s="2"/>
      <c r="E25" s="2">
        <v>728.2</v>
      </c>
      <c r="F25" s="2"/>
      <c r="G25" s="2"/>
      <c r="H25" s="2">
        <v>728.2</v>
      </c>
      <c r="I25" s="2">
        <v>32.58</v>
      </c>
      <c r="J25" s="5">
        <f t="shared" si="0"/>
        <v>23724.756000000001</v>
      </c>
      <c r="K25" s="5"/>
      <c r="L25" s="2">
        <v>30.52</v>
      </c>
      <c r="M25" s="2">
        <f t="shared" si="1"/>
        <v>22224.664000000001</v>
      </c>
    </row>
    <row r="26" spans="1:14">
      <c r="A26" s="2" t="s">
        <v>17</v>
      </c>
      <c r="B26" s="2">
        <v>18</v>
      </c>
      <c r="C26" s="2">
        <v>16</v>
      </c>
      <c r="D26" s="2"/>
      <c r="E26" s="2">
        <v>738.6</v>
      </c>
      <c r="F26" s="2"/>
      <c r="G26" s="2"/>
      <c r="H26" s="2">
        <v>738.6</v>
      </c>
      <c r="I26" s="2">
        <v>32.58</v>
      </c>
      <c r="J26" s="5">
        <f t="shared" si="0"/>
        <v>24063.588</v>
      </c>
      <c r="K26" s="5"/>
      <c r="L26" s="2">
        <v>30.52</v>
      </c>
      <c r="M26" s="2">
        <f t="shared" si="1"/>
        <v>22542.072</v>
      </c>
    </row>
    <row r="27" spans="1:14">
      <c r="A27" s="2" t="s">
        <v>17</v>
      </c>
      <c r="B27" s="2">
        <v>20</v>
      </c>
      <c r="C27" s="2">
        <v>17</v>
      </c>
      <c r="D27" s="2"/>
      <c r="E27" s="2">
        <v>721.8</v>
      </c>
      <c r="F27" s="2"/>
      <c r="G27" s="2"/>
      <c r="H27" s="2">
        <v>721.8</v>
      </c>
      <c r="I27" s="2">
        <v>32.58</v>
      </c>
      <c r="J27" s="5">
        <f t="shared" si="0"/>
        <v>23516.243999999999</v>
      </c>
      <c r="K27" s="5"/>
      <c r="L27" s="2">
        <v>30.52</v>
      </c>
      <c r="M27" s="2">
        <f t="shared" si="1"/>
        <v>22029.335999999999</v>
      </c>
    </row>
    <row r="28" spans="1:14">
      <c r="A28" s="2" t="s">
        <v>17</v>
      </c>
      <c r="B28" s="2" t="s">
        <v>18</v>
      </c>
      <c r="C28" s="2">
        <v>16</v>
      </c>
      <c r="D28" s="2"/>
      <c r="E28" s="2">
        <v>783.1</v>
      </c>
      <c r="F28" s="2"/>
      <c r="G28" s="2"/>
      <c r="H28" s="2">
        <v>783.1</v>
      </c>
      <c r="I28" s="2">
        <v>32.58</v>
      </c>
      <c r="J28" s="5">
        <f t="shared" si="0"/>
        <v>25513.398000000001</v>
      </c>
      <c r="K28" s="5"/>
      <c r="L28" s="2">
        <v>26.23</v>
      </c>
      <c r="M28" s="2">
        <f t="shared" si="1"/>
        <v>20540.713</v>
      </c>
    </row>
    <row r="29" spans="1:14">
      <c r="A29" s="2" t="s">
        <v>19</v>
      </c>
      <c r="B29" s="2">
        <v>2</v>
      </c>
      <c r="C29" s="2">
        <v>4</v>
      </c>
      <c r="D29" s="2"/>
      <c r="E29" s="2">
        <v>222.1</v>
      </c>
      <c r="F29" s="2"/>
      <c r="G29" s="2"/>
      <c r="H29" s="2">
        <v>222.1</v>
      </c>
      <c r="I29" s="2">
        <v>32.58</v>
      </c>
      <c r="J29" s="5">
        <f t="shared" si="0"/>
        <v>7236.0179999999991</v>
      </c>
      <c r="K29" s="5"/>
      <c r="L29" s="2">
        <v>16.77</v>
      </c>
      <c r="M29" s="2">
        <f t="shared" si="1"/>
        <v>3724.6169999999997</v>
      </c>
    </row>
    <row r="30" spans="1:14">
      <c r="A30" s="2" t="s">
        <v>19</v>
      </c>
      <c r="B30" s="2" t="s">
        <v>6</v>
      </c>
      <c r="C30" s="2">
        <v>120</v>
      </c>
      <c r="D30" s="2"/>
      <c r="E30" s="2">
        <v>5120.2</v>
      </c>
      <c r="F30" s="2">
        <v>5120.2</v>
      </c>
      <c r="G30" s="2"/>
      <c r="H30" s="2"/>
      <c r="I30" s="2">
        <v>21.8</v>
      </c>
      <c r="J30" s="5">
        <f t="shared" si="0"/>
        <v>111620.36</v>
      </c>
      <c r="K30" s="5"/>
      <c r="L30" s="2">
        <v>17.57</v>
      </c>
      <c r="M30" s="2">
        <f t="shared" si="1"/>
        <v>89961.914000000004</v>
      </c>
    </row>
    <row r="31" spans="1:14">
      <c r="A31" s="2" t="s">
        <v>19</v>
      </c>
      <c r="B31" s="2" t="s">
        <v>9</v>
      </c>
      <c r="C31" s="2">
        <v>59</v>
      </c>
      <c r="D31" s="2"/>
      <c r="E31" s="2">
        <v>2514.5</v>
      </c>
      <c r="F31" s="2">
        <v>2514.5</v>
      </c>
      <c r="G31" s="2"/>
      <c r="H31" s="2"/>
      <c r="I31" s="2">
        <v>21.8</v>
      </c>
      <c r="J31" s="5">
        <f t="shared" si="0"/>
        <v>54816.1</v>
      </c>
      <c r="K31" s="5"/>
      <c r="L31" s="2">
        <v>17.57</v>
      </c>
      <c r="M31" s="2">
        <f t="shared" si="1"/>
        <v>44179.764999999999</v>
      </c>
    </row>
    <row r="32" spans="1:14">
      <c r="A32" s="2" t="s">
        <v>19</v>
      </c>
      <c r="B32" s="2" t="s">
        <v>11</v>
      </c>
      <c r="C32" s="2">
        <v>60</v>
      </c>
      <c r="D32" s="2"/>
      <c r="E32" s="2">
        <v>2564.1999999999998</v>
      </c>
      <c r="F32" s="2">
        <v>2564.1999999999998</v>
      </c>
      <c r="G32" s="2"/>
      <c r="H32" s="2"/>
      <c r="I32" s="2">
        <v>21.8</v>
      </c>
      <c r="J32" s="5">
        <f t="shared" si="0"/>
        <v>55899.56</v>
      </c>
      <c r="K32" s="5"/>
      <c r="L32" s="2">
        <v>17.57</v>
      </c>
      <c r="M32" s="2">
        <f t="shared" si="1"/>
        <v>45052.993999999999</v>
      </c>
    </row>
    <row r="33" spans="1:17">
      <c r="A33" s="2" t="s">
        <v>19</v>
      </c>
      <c r="B33" s="2" t="s">
        <v>7</v>
      </c>
      <c r="C33" s="2">
        <v>62</v>
      </c>
      <c r="D33" s="2"/>
      <c r="E33" s="2">
        <v>2637.5</v>
      </c>
      <c r="F33" s="2">
        <v>2637.5</v>
      </c>
      <c r="G33" s="2"/>
      <c r="H33" s="2"/>
      <c r="I33" s="2">
        <v>21.8</v>
      </c>
      <c r="J33" s="5">
        <f t="shared" si="0"/>
        <v>57497.5</v>
      </c>
      <c r="K33" s="5"/>
      <c r="L33" s="2">
        <v>17.57</v>
      </c>
      <c r="M33" s="2">
        <f t="shared" si="1"/>
        <v>46340.875</v>
      </c>
    </row>
    <row r="34" spans="1:17">
      <c r="A34" s="2" t="s">
        <v>19</v>
      </c>
      <c r="B34" s="2" t="s">
        <v>20</v>
      </c>
      <c r="C34" s="2">
        <v>114</v>
      </c>
      <c r="D34" s="2"/>
      <c r="E34" s="2">
        <v>2334.8000000000002</v>
      </c>
      <c r="F34" s="2">
        <v>2334.8000000000002</v>
      </c>
      <c r="G34" s="2"/>
      <c r="H34" s="2"/>
      <c r="I34" s="2">
        <v>21.8</v>
      </c>
      <c r="J34" s="5">
        <f t="shared" si="0"/>
        <v>50898.640000000007</v>
      </c>
      <c r="K34" s="5"/>
      <c r="L34" s="2">
        <v>17.57</v>
      </c>
      <c r="M34" s="2">
        <f t="shared" si="1"/>
        <v>41022.436000000002</v>
      </c>
      <c r="N34">
        <v>32.58</v>
      </c>
      <c r="O34">
        <f>N34*E34</f>
        <v>76067.784</v>
      </c>
    </row>
    <row r="35" spans="1:17">
      <c r="A35" s="2" t="s">
        <v>19</v>
      </c>
      <c r="B35" s="2" t="s">
        <v>21</v>
      </c>
      <c r="C35" s="2">
        <v>122</v>
      </c>
      <c r="D35" s="2"/>
      <c r="E35" s="2">
        <v>2348.9</v>
      </c>
      <c r="F35" s="2">
        <v>2348.9</v>
      </c>
      <c r="G35" s="2"/>
      <c r="H35" s="2"/>
      <c r="I35" s="2">
        <v>21.8</v>
      </c>
      <c r="J35" s="5">
        <f t="shared" si="0"/>
        <v>51206.020000000004</v>
      </c>
      <c r="K35" s="5"/>
      <c r="L35" s="2">
        <v>17.57</v>
      </c>
      <c r="M35" s="2">
        <f t="shared" si="1"/>
        <v>41270.173000000003</v>
      </c>
      <c r="N35">
        <v>32.58</v>
      </c>
      <c r="O35">
        <f>N35*E35</f>
        <v>76527.161999999997</v>
      </c>
    </row>
    <row r="36" spans="1:17">
      <c r="A36" s="2" t="s">
        <v>19</v>
      </c>
      <c r="B36" s="2" t="s">
        <v>3</v>
      </c>
      <c r="C36" s="2">
        <v>60</v>
      </c>
      <c r="D36" s="2"/>
      <c r="E36" s="2">
        <v>3230.36</v>
      </c>
      <c r="F36" s="2">
        <v>3230.36</v>
      </c>
      <c r="G36" s="2"/>
      <c r="H36" s="2"/>
      <c r="I36" s="2">
        <v>21.8</v>
      </c>
      <c r="J36" s="5">
        <f t="shared" si="0"/>
        <v>70421.847999999998</v>
      </c>
      <c r="K36" s="5"/>
      <c r="L36" s="2">
        <v>17.57</v>
      </c>
      <c r="M36" s="2">
        <f t="shared" si="1"/>
        <v>56757.425200000005</v>
      </c>
    </row>
    <row r="37" spans="1:17">
      <c r="A37" s="2" t="s">
        <v>19</v>
      </c>
      <c r="B37" s="2" t="s">
        <v>22</v>
      </c>
      <c r="C37" s="2">
        <v>70</v>
      </c>
      <c r="D37" s="2"/>
      <c r="E37" s="2">
        <v>2360.1</v>
      </c>
      <c r="F37" s="2">
        <v>2360.1</v>
      </c>
      <c r="G37" s="2"/>
      <c r="H37" s="2"/>
      <c r="I37" s="2">
        <v>21.8</v>
      </c>
      <c r="J37" s="5">
        <f t="shared" si="0"/>
        <v>51450.18</v>
      </c>
      <c r="K37" s="5"/>
      <c r="L37" s="2">
        <v>17.57</v>
      </c>
      <c r="M37" s="2">
        <f t="shared" si="1"/>
        <v>41466.957000000002</v>
      </c>
    </row>
    <row r="38" spans="1:17">
      <c r="A38" s="2" t="s">
        <v>23</v>
      </c>
      <c r="B38" s="2" t="s">
        <v>24</v>
      </c>
      <c r="C38" s="2">
        <v>24</v>
      </c>
      <c r="D38" s="2"/>
      <c r="E38" s="2">
        <v>1236.4000000000001</v>
      </c>
      <c r="F38" s="2"/>
      <c r="G38" s="2"/>
      <c r="H38" s="2">
        <v>1236.4000000000001</v>
      </c>
      <c r="I38" s="5">
        <v>32.58</v>
      </c>
      <c r="J38" s="5">
        <f t="shared" si="0"/>
        <v>40281.912000000004</v>
      </c>
      <c r="K38" s="5"/>
      <c r="L38" s="2">
        <v>30.52</v>
      </c>
      <c r="M38" s="2">
        <f t="shared" si="1"/>
        <v>37734.928</v>
      </c>
    </row>
    <row r="39" spans="1:17">
      <c r="A39" s="3" t="s">
        <v>33</v>
      </c>
      <c r="B39" s="3"/>
      <c r="C39" s="3">
        <v>1902</v>
      </c>
      <c r="D39" s="3"/>
      <c r="E39" s="3">
        <f>SUM(E5:E38)</f>
        <v>48190.810000000005</v>
      </c>
      <c r="F39" s="3">
        <f>SUM(F5:F38)</f>
        <v>30889.06</v>
      </c>
      <c r="G39" s="3">
        <f>SUM(G5:G38)</f>
        <v>9956.0299999999988</v>
      </c>
      <c r="H39" s="3">
        <f>SUM(H5:H38)</f>
        <v>7345.7200000000012</v>
      </c>
      <c r="I39" s="2"/>
      <c r="J39" s="5">
        <f>SUM(J5:J38)</f>
        <v>1106847.6506000001</v>
      </c>
      <c r="K39" s="5"/>
      <c r="L39" s="2"/>
      <c r="M39" s="2">
        <f>SUM(M5:M38)</f>
        <v>925646.14370000002</v>
      </c>
      <c r="O39">
        <f>SUM(O34:O38)</f>
        <v>152594.946</v>
      </c>
      <c r="Q39">
        <f>M39+O39</f>
        <v>1078241.0896999999</v>
      </c>
    </row>
    <row r="40" spans="1:17">
      <c r="F40">
        <f>F39*18.85*12/1000</f>
        <v>6987.1053720000018</v>
      </c>
      <c r="G40">
        <f>G39*17.83*12/1000</f>
        <v>2130.1921787999995</v>
      </c>
      <c r="H40">
        <f>H39*30.24*12/1000</f>
        <v>2665.6148736000005</v>
      </c>
      <c r="J40">
        <v>1187421.55</v>
      </c>
    </row>
    <row r="41" spans="1:17">
      <c r="H41">
        <f>F40+G40+H40</f>
        <v>11782.912424400001</v>
      </c>
      <c r="J41" s="4">
        <f>J39-J40</f>
        <v>-80573.899399999995</v>
      </c>
      <c r="K41" s="4"/>
    </row>
    <row r="42" spans="1:17">
      <c r="J42">
        <f>J39*12</f>
        <v>13282171.8072</v>
      </c>
    </row>
    <row r="43" spans="1:17">
      <c r="A43" t="s">
        <v>34</v>
      </c>
      <c r="C43">
        <f>F39</f>
        <v>30889.06</v>
      </c>
      <c r="J43">
        <v>1053641</v>
      </c>
    </row>
    <row r="44" spans="1:17">
      <c r="A44" t="s">
        <v>35</v>
      </c>
      <c r="C44">
        <f>G39</f>
        <v>9956.0299999999988</v>
      </c>
      <c r="J44">
        <v>13275885</v>
      </c>
    </row>
    <row r="45" spans="1:17">
      <c r="A45" t="s">
        <v>36</v>
      </c>
      <c r="C45">
        <f>H39</f>
        <v>7345.7200000000012</v>
      </c>
      <c r="J45">
        <f>J42-J44</f>
        <v>6286.8071999996901</v>
      </c>
    </row>
    <row r="46" spans="1:17">
      <c r="A46" t="s">
        <v>46</v>
      </c>
      <c r="C46">
        <v>783.1</v>
      </c>
    </row>
    <row r="48" spans="1:17">
      <c r="A48" t="s">
        <v>40</v>
      </c>
      <c r="C48">
        <f>C43+E38</f>
        <v>32125.460000000003</v>
      </c>
    </row>
    <row r="51" spans="1:10">
      <c r="A51" t="s">
        <v>41</v>
      </c>
      <c r="C51">
        <v>8477.7000000000007</v>
      </c>
      <c r="H51">
        <v>92</v>
      </c>
      <c r="I51">
        <f>(15383.4/12-209.8)/(48190.81+962.3)*1000</f>
        <v>21.812455000304155</v>
      </c>
    </row>
    <row r="52" spans="1:10">
      <c r="A52" t="s">
        <v>42</v>
      </c>
      <c r="C52">
        <f>658.84-52.9</f>
        <v>605.94000000000005</v>
      </c>
      <c r="E52">
        <f>C52/C45/7*1000</f>
        <v>11.784121521492398</v>
      </c>
      <c r="G52">
        <f>C52*1.18</f>
        <v>715.00920000000008</v>
      </c>
      <c r="H52">
        <f>G52/7</f>
        <v>102.14417142857144</v>
      </c>
    </row>
    <row r="53" spans="1:10">
      <c r="A53" t="s">
        <v>45</v>
      </c>
      <c r="C53">
        <v>52.9</v>
      </c>
      <c r="E53">
        <f>C53*1000/C46/7</f>
        <v>9.6502909681303244</v>
      </c>
      <c r="G53">
        <f>C53*1.18</f>
        <v>62.421999999999997</v>
      </c>
      <c r="H53">
        <f>G53/7</f>
        <v>8.9174285714285713</v>
      </c>
    </row>
    <row r="54" spans="1:10">
      <c r="A54" t="s">
        <v>43</v>
      </c>
      <c r="C54">
        <f>(409.8+145.2)+14*7</f>
        <v>653</v>
      </c>
      <c r="E54">
        <f>C54*1000/E39/7</f>
        <v>1.93575734223422</v>
      </c>
      <c r="H54">
        <f>0.25*7.8*1.12*1.342</f>
        <v>2.9309280000000002</v>
      </c>
    </row>
    <row r="55" spans="1:10">
      <c r="A55" t="s">
        <v>47</v>
      </c>
      <c r="C55">
        <v>759.11</v>
      </c>
      <c r="E55">
        <f>C55*1000/C48/7</f>
        <v>3.3756492736379715</v>
      </c>
      <c r="G55">
        <f>10*7.8*1.12*1.342</f>
        <v>117.23712000000002</v>
      </c>
      <c r="H55">
        <f>G55*1000/C43</f>
        <v>3.7954253059173708</v>
      </c>
    </row>
    <row r="56" spans="1:10">
      <c r="H56">
        <f>SUM(H51:H55)</f>
        <v>209.78795330591737</v>
      </c>
    </row>
    <row r="57" spans="1:10" ht="53.25" customHeight="1">
      <c r="C57" s="53" t="s">
        <v>123</v>
      </c>
      <c r="D57" s="53"/>
      <c r="E57" s="53"/>
    </row>
    <row r="58" spans="1:10" ht="53.25" customHeight="1">
      <c r="A58" s="39"/>
      <c r="B58" s="54" t="s">
        <v>158</v>
      </c>
      <c r="C58" s="54"/>
      <c r="D58" s="54"/>
      <c r="E58" s="54"/>
    </row>
    <row r="59" spans="1:10" ht="53.25" customHeight="1">
      <c r="A59" s="55" t="s">
        <v>145</v>
      </c>
      <c r="B59" s="55"/>
      <c r="C59" s="55"/>
      <c r="D59" s="55"/>
      <c r="E59" s="55"/>
    </row>
    <row r="60" spans="1:10" ht="97.5" customHeight="1">
      <c r="A60" s="40" t="s">
        <v>141</v>
      </c>
      <c r="B60" s="41" t="s">
        <v>142</v>
      </c>
      <c r="C60" s="40" t="s">
        <v>170</v>
      </c>
      <c r="D60" s="40" t="s">
        <v>171</v>
      </c>
      <c r="E60" s="40" t="s">
        <v>144</v>
      </c>
      <c r="J60">
        <v>1236.4000000000001</v>
      </c>
    </row>
    <row r="61" spans="1:10" ht="15.75">
      <c r="A61" s="56" t="s">
        <v>179</v>
      </c>
      <c r="B61" s="42" t="s">
        <v>165</v>
      </c>
      <c r="C61" s="48">
        <f>18.24*J60*12</f>
        <v>270623.23200000002</v>
      </c>
      <c r="D61" s="42">
        <f>ROUND(C61/J60/12,2)</f>
        <v>18.239999999999998</v>
      </c>
      <c r="E61" s="43">
        <v>14.78</v>
      </c>
      <c r="F61" s="4"/>
      <c r="J61" t="s">
        <v>120</v>
      </c>
    </row>
    <row r="62" spans="1:10" ht="15.75">
      <c r="A62" s="57"/>
      <c r="B62" s="42" t="s">
        <v>176</v>
      </c>
      <c r="C62" s="42">
        <f>9100*1.302*12*0.25</f>
        <v>35544.600000000006</v>
      </c>
      <c r="D62" s="42">
        <f>ROUND(C62/J60/12,2)</f>
        <v>2.4</v>
      </c>
      <c r="E62" s="43"/>
      <c r="F62" s="4"/>
    </row>
    <row r="63" spans="1:10" ht="15.75">
      <c r="A63" s="57"/>
      <c r="B63" s="42" t="s">
        <v>172</v>
      </c>
      <c r="C63" s="48">
        <f>D63*J60*12</f>
        <v>40652.832000000002</v>
      </c>
      <c r="D63" s="42">
        <v>2.74</v>
      </c>
      <c r="E63" s="44">
        <v>2.74</v>
      </c>
      <c r="F63" s="4"/>
      <c r="G63">
        <v>1.94</v>
      </c>
      <c r="I63">
        <v>18.850000000000001</v>
      </c>
    </row>
    <row r="64" spans="1:10" ht="15.75">
      <c r="A64" s="57"/>
      <c r="B64" s="42" t="s">
        <v>173</v>
      </c>
      <c r="C64" s="42">
        <f>ROUND(12.41*J60*12,2)</f>
        <v>184124.69</v>
      </c>
      <c r="D64" s="42">
        <v>12.41</v>
      </c>
      <c r="E64" s="43">
        <v>12.41</v>
      </c>
      <c r="F64" s="4"/>
      <c r="G64">
        <v>11.78</v>
      </c>
    </row>
    <row r="65" spans="1:10" ht="15.75">
      <c r="A65" s="57"/>
      <c r="B65" s="42" t="s">
        <v>174</v>
      </c>
      <c r="C65" s="42">
        <f>ROUND(0.31*J60*12,2)</f>
        <v>4599.41</v>
      </c>
      <c r="D65" s="42">
        <v>0.31</v>
      </c>
      <c r="E65" s="43">
        <v>0.31</v>
      </c>
      <c r="F65" s="4"/>
    </row>
    <row r="66" spans="1:10" ht="15.75">
      <c r="A66" s="58"/>
      <c r="B66" s="42"/>
      <c r="C66" s="49">
        <f>SUM(C61:C65)</f>
        <v>535544.76400000008</v>
      </c>
      <c r="D66" s="45">
        <f>SUM(D61:D65)</f>
        <v>36.099999999999994</v>
      </c>
      <c r="E66" s="46">
        <v>30.24</v>
      </c>
      <c r="F66" s="4">
        <f>E66/C66</f>
        <v>5.646586808941333E-5</v>
      </c>
      <c r="G66">
        <f>D66/C66</f>
        <v>6.7407997289279791E-5</v>
      </c>
      <c r="J66">
        <f>C66/J60/12</f>
        <v>36.09570554297423</v>
      </c>
    </row>
    <row r="67" spans="1:10" ht="15.75">
      <c r="A67" s="39"/>
      <c r="B67" s="39"/>
      <c r="C67" s="39"/>
      <c r="D67" s="39"/>
      <c r="E67" s="39"/>
    </row>
    <row r="68" spans="1:10" ht="15.75">
      <c r="A68" s="59" t="s">
        <v>125</v>
      </c>
      <c r="B68" s="59"/>
      <c r="C68" s="59"/>
      <c r="D68" s="59"/>
      <c r="E68" s="59"/>
      <c r="G68">
        <v>1053640</v>
      </c>
    </row>
    <row r="69" spans="1:10" ht="22.5" customHeight="1">
      <c r="A69" s="50" t="s">
        <v>159</v>
      </c>
      <c r="B69" s="50"/>
      <c r="C69" s="50"/>
      <c r="D69" s="50"/>
      <c r="E69" s="50"/>
    </row>
    <row r="70" spans="1:10" ht="15.75">
      <c r="A70" s="50" t="s">
        <v>160</v>
      </c>
      <c r="B70" s="50"/>
      <c r="C70" s="50"/>
      <c r="D70" s="50"/>
      <c r="E70" s="50"/>
    </row>
    <row r="71" spans="1:10" ht="15.75">
      <c r="A71" s="50" t="s">
        <v>161</v>
      </c>
      <c r="B71" s="50"/>
      <c r="C71" s="50"/>
      <c r="D71" s="50"/>
      <c r="E71" s="50"/>
    </row>
    <row r="72" spans="1:10" ht="15.75">
      <c r="A72" s="50" t="s">
        <v>162</v>
      </c>
      <c r="B72" s="50"/>
      <c r="C72" s="50"/>
      <c r="D72" s="50"/>
      <c r="E72" s="50"/>
    </row>
    <row r="73" spans="1:10" ht="25.5" customHeight="1">
      <c r="A73" s="50" t="s">
        <v>163</v>
      </c>
      <c r="B73" s="50"/>
      <c r="C73" s="50"/>
      <c r="D73" s="50"/>
      <c r="E73" s="50"/>
    </row>
    <row r="74" spans="1:10" ht="15.75">
      <c r="A74" s="50" t="s">
        <v>164</v>
      </c>
      <c r="B74" s="50"/>
      <c r="C74" s="50"/>
      <c r="D74" s="50"/>
      <c r="E74" s="50"/>
    </row>
    <row r="75" spans="1:10" ht="15.75">
      <c r="A75" s="50" t="s">
        <v>166</v>
      </c>
      <c r="B75" s="50"/>
      <c r="C75" s="50"/>
      <c r="D75" s="50"/>
      <c r="E75" s="50"/>
    </row>
    <row r="76" spans="1:10" ht="32.25" customHeight="1">
      <c r="A76" s="50" t="s">
        <v>167</v>
      </c>
      <c r="B76" s="50"/>
      <c r="C76" s="50"/>
      <c r="D76" s="50"/>
      <c r="E76" s="50"/>
    </row>
    <row r="77" spans="1:10" ht="21.75" customHeight="1">
      <c r="A77" s="52" t="s">
        <v>177</v>
      </c>
      <c r="B77" s="52"/>
      <c r="C77" s="52"/>
      <c r="D77" s="52"/>
      <c r="E77" s="52"/>
    </row>
    <row r="78" spans="1:10" ht="33" customHeight="1">
      <c r="A78" s="50" t="s">
        <v>178</v>
      </c>
      <c r="B78" s="50"/>
      <c r="C78" s="50"/>
      <c r="D78" s="50"/>
      <c r="E78" s="50"/>
    </row>
    <row r="79" spans="1:10" ht="15.75">
      <c r="A79" s="47"/>
      <c r="B79" s="47"/>
      <c r="C79" s="47"/>
      <c r="D79" s="47"/>
      <c r="E79" s="47"/>
    </row>
    <row r="80" spans="1:10" ht="15.75">
      <c r="A80" s="51" t="s">
        <v>169</v>
      </c>
      <c r="B80" s="51"/>
      <c r="C80" s="51"/>
      <c r="D80" s="51"/>
      <c r="E80" s="51"/>
    </row>
  </sheetData>
  <mergeCells count="22">
    <mergeCell ref="I3:I4"/>
    <mergeCell ref="J3:J4"/>
    <mergeCell ref="A69:E69"/>
    <mergeCell ref="A3:A4"/>
    <mergeCell ref="B3:B4"/>
    <mergeCell ref="C3:C4"/>
    <mergeCell ref="E3:G3"/>
    <mergeCell ref="C57:E57"/>
    <mergeCell ref="B58:E58"/>
    <mergeCell ref="A59:E59"/>
    <mergeCell ref="A61:A66"/>
    <mergeCell ref="A68:E68"/>
    <mergeCell ref="A76:E76"/>
    <mergeCell ref="A78:E78"/>
    <mergeCell ref="A80:E80"/>
    <mergeCell ref="A77:E77"/>
    <mergeCell ref="A70:E70"/>
    <mergeCell ref="A71:E71"/>
    <mergeCell ref="A72:E72"/>
    <mergeCell ref="A73:E73"/>
    <mergeCell ref="A74:E74"/>
    <mergeCell ref="A75:E75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8"/>
  <sheetViews>
    <sheetView topLeftCell="A82" workbookViewId="0">
      <selection activeCell="J97" sqref="J97"/>
    </sheetView>
  </sheetViews>
  <sheetFormatPr defaultRowHeight="15"/>
  <cols>
    <col min="1" max="1" width="23.5703125" customWidth="1"/>
    <col min="2" max="2" width="28.85546875" customWidth="1"/>
    <col min="3" max="3" width="12.7109375" customWidth="1"/>
    <col min="4" max="4" width="13.5703125" customWidth="1"/>
    <col min="5" max="5" width="11" bestFit="1" customWidth="1"/>
    <col min="10" max="10" width="25.42578125" customWidth="1"/>
    <col min="11" max="11" width="12.42578125" customWidth="1"/>
  </cols>
  <sheetData>
    <row r="1" spans="1:14">
      <c r="B1" t="s">
        <v>25</v>
      </c>
    </row>
    <row r="2" spans="1:14">
      <c r="A2" t="s">
        <v>26</v>
      </c>
      <c r="I2" t="s">
        <v>94</v>
      </c>
    </row>
    <row r="3" spans="1:14">
      <c r="A3" s="60" t="s">
        <v>27</v>
      </c>
      <c r="B3" s="60" t="s">
        <v>28</v>
      </c>
      <c r="C3" s="60" t="s">
        <v>29</v>
      </c>
      <c r="D3" s="35"/>
      <c r="E3" s="63" t="s">
        <v>30</v>
      </c>
      <c r="F3" s="63"/>
      <c r="G3" s="63"/>
      <c r="H3" s="36" t="s">
        <v>32</v>
      </c>
      <c r="I3" s="64" t="s">
        <v>59</v>
      </c>
      <c r="J3" s="64" t="s">
        <v>60</v>
      </c>
      <c r="K3" s="15"/>
    </row>
    <row r="4" spans="1:14">
      <c r="A4" s="60"/>
      <c r="B4" s="60"/>
      <c r="C4" s="60"/>
      <c r="D4" s="35"/>
      <c r="E4" s="36" t="s">
        <v>31</v>
      </c>
      <c r="F4" s="36" t="s">
        <v>37</v>
      </c>
      <c r="G4" s="36" t="s">
        <v>38</v>
      </c>
      <c r="H4" s="36" t="s">
        <v>39</v>
      </c>
      <c r="I4" s="65"/>
      <c r="J4" s="65"/>
      <c r="K4" s="15"/>
      <c r="L4" s="6">
        <v>0.1</v>
      </c>
    </row>
    <row r="5" spans="1:14">
      <c r="A5" s="2" t="s">
        <v>0</v>
      </c>
      <c r="B5" s="2">
        <v>1</v>
      </c>
      <c r="C5" s="2">
        <v>16</v>
      </c>
      <c r="D5" s="2"/>
      <c r="E5" s="2">
        <v>739</v>
      </c>
      <c r="F5" s="2"/>
      <c r="G5" s="2"/>
      <c r="H5" s="2">
        <v>739</v>
      </c>
      <c r="I5" s="5">
        <v>32.58</v>
      </c>
      <c r="J5" s="5">
        <f>I5*E5</f>
        <v>24076.62</v>
      </c>
      <c r="K5" s="5">
        <v>27.74</v>
      </c>
      <c r="L5" s="2">
        <v>30.52</v>
      </c>
      <c r="M5" s="2">
        <f>L5*E5</f>
        <v>22554.28</v>
      </c>
      <c r="N5">
        <f>I5/K5</f>
        <v>1.174477289113194</v>
      </c>
    </row>
    <row r="6" spans="1:14">
      <c r="A6" s="2" t="s">
        <v>0</v>
      </c>
      <c r="B6" s="2">
        <v>2</v>
      </c>
      <c r="C6" s="2">
        <v>18</v>
      </c>
      <c r="D6" s="2"/>
      <c r="E6" s="2">
        <v>879.2</v>
      </c>
      <c r="F6" s="2"/>
      <c r="G6" s="2"/>
      <c r="H6" s="2">
        <v>879.2</v>
      </c>
      <c r="I6" s="2">
        <v>32.58</v>
      </c>
      <c r="J6" s="5">
        <f t="shared" ref="J6:J38" si="0">I6*E6</f>
        <v>28644.335999999999</v>
      </c>
      <c r="K6" s="5"/>
      <c r="L6" s="2">
        <v>30.52</v>
      </c>
      <c r="M6" s="2">
        <f t="shared" ref="M6:M38" si="1">L6*E6</f>
        <v>26833.184000000001</v>
      </c>
    </row>
    <row r="7" spans="1:14">
      <c r="A7" s="2" t="s">
        <v>1</v>
      </c>
      <c r="B7" s="2" t="s">
        <v>2</v>
      </c>
      <c r="C7" s="2">
        <v>25</v>
      </c>
      <c r="D7" s="2"/>
      <c r="E7" s="2">
        <v>1599</v>
      </c>
      <c r="F7" s="2"/>
      <c r="G7" s="2">
        <v>1599</v>
      </c>
      <c r="H7" s="2"/>
      <c r="I7" s="2">
        <v>19.5</v>
      </c>
      <c r="J7" s="5">
        <f t="shared" si="0"/>
        <v>31180.5</v>
      </c>
      <c r="K7" s="5">
        <v>15.24</v>
      </c>
      <c r="L7" s="2">
        <v>16.77</v>
      </c>
      <c r="M7" s="2">
        <f t="shared" si="1"/>
        <v>26815.23</v>
      </c>
      <c r="N7">
        <f>I7/K7</f>
        <v>1.2795275590551181</v>
      </c>
    </row>
    <row r="8" spans="1:14">
      <c r="A8" s="2" t="s">
        <v>1</v>
      </c>
      <c r="B8" s="2" t="s">
        <v>3</v>
      </c>
      <c r="C8" s="2">
        <v>24</v>
      </c>
      <c r="D8" s="2"/>
      <c r="E8" s="2">
        <v>1256</v>
      </c>
      <c r="F8" s="2"/>
      <c r="G8" s="2">
        <v>1256</v>
      </c>
      <c r="H8" s="2"/>
      <c r="I8" s="2">
        <v>19.5</v>
      </c>
      <c r="J8" s="5">
        <f t="shared" si="0"/>
        <v>24492</v>
      </c>
      <c r="K8" s="5"/>
      <c r="L8" s="2">
        <v>16.77</v>
      </c>
      <c r="M8" s="2">
        <f t="shared" si="1"/>
        <v>21063.119999999999</v>
      </c>
    </row>
    <row r="9" spans="1:14">
      <c r="A9" s="2" t="s">
        <v>1</v>
      </c>
      <c r="B9" s="2" t="s">
        <v>4</v>
      </c>
      <c r="C9" s="2">
        <v>16</v>
      </c>
      <c r="D9" s="2"/>
      <c r="E9" s="2">
        <v>571.20000000000005</v>
      </c>
      <c r="F9" s="2"/>
      <c r="G9" s="2">
        <v>571.20000000000005</v>
      </c>
      <c r="H9" s="2"/>
      <c r="I9" s="2">
        <v>19.5</v>
      </c>
      <c r="J9" s="5">
        <f t="shared" si="0"/>
        <v>11138.400000000001</v>
      </c>
      <c r="K9" s="5"/>
      <c r="L9" s="2">
        <v>16.77</v>
      </c>
      <c r="M9" s="2">
        <f t="shared" si="1"/>
        <v>9579.0240000000013</v>
      </c>
    </row>
    <row r="10" spans="1:14">
      <c r="A10" s="2" t="s">
        <v>5</v>
      </c>
      <c r="B10" s="2">
        <v>1</v>
      </c>
      <c r="C10" s="2">
        <v>24</v>
      </c>
      <c r="D10" s="2"/>
      <c r="E10" s="2">
        <v>1064.0999999999999</v>
      </c>
      <c r="F10" s="2"/>
      <c r="G10" s="2">
        <v>1064.0999999999999</v>
      </c>
      <c r="H10" s="2"/>
      <c r="I10" s="2">
        <v>19.5</v>
      </c>
      <c r="J10" s="5">
        <f t="shared" si="0"/>
        <v>20749.949999999997</v>
      </c>
      <c r="K10" s="5"/>
      <c r="L10" s="2">
        <v>16.77</v>
      </c>
      <c r="M10" s="2">
        <f t="shared" si="1"/>
        <v>17844.956999999999</v>
      </c>
    </row>
    <row r="11" spans="1:14">
      <c r="A11" s="2" t="s">
        <v>5</v>
      </c>
      <c r="B11" s="2" t="s">
        <v>6</v>
      </c>
      <c r="C11" s="2">
        <v>16</v>
      </c>
      <c r="D11" s="2"/>
      <c r="E11" s="2">
        <v>710.6</v>
      </c>
      <c r="F11" s="2"/>
      <c r="G11" s="2">
        <v>710.6</v>
      </c>
      <c r="H11" s="2"/>
      <c r="I11" s="2">
        <v>19.5</v>
      </c>
      <c r="J11" s="5">
        <f t="shared" si="0"/>
        <v>13856.7</v>
      </c>
      <c r="K11" s="5"/>
      <c r="L11" s="2">
        <v>16.77</v>
      </c>
      <c r="M11" s="2">
        <f t="shared" si="1"/>
        <v>11916.762000000001</v>
      </c>
    </row>
    <row r="12" spans="1:14">
      <c r="A12" s="2" t="s">
        <v>5</v>
      </c>
      <c r="B12" s="2" t="s">
        <v>7</v>
      </c>
      <c r="C12" s="2">
        <v>12</v>
      </c>
      <c r="D12" s="2"/>
      <c r="E12" s="2">
        <v>690.83</v>
      </c>
      <c r="F12" s="2"/>
      <c r="G12" s="2">
        <v>690.83</v>
      </c>
      <c r="H12" s="2"/>
      <c r="I12" s="2">
        <v>19.5</v>
      </c>
      <c r="J12" s="5">
        <f t="shared" si="0"/>
        <v>13471.185000000001</v>
      </c>
      <c r="K12" s="5"/>
      <c r="L12" s="2">
        <v>16.77</v>
      </c>
      <c r="M12" s="2">
        <f t="shared" si="1"/>
        <v>11585.2191</v>
      </c>
    </row>
    <row r="13" spans="1:14">
      <c r="A13" s="2" t="s">
        <v>8</v>
      </c>
      <c r="B13" s="2" t="s">
        <v>9</v>
      </c>
      <c r="C13" s="2">
        <v>19</v>
      </c>
      <c r="D13" s="2"/>
      <c r="E13" s="2">
        <v>935.9</v>
      </c>
      <c r="F13" s="2"/>
      <c r="G13" s="2">
        <v>935.9</v>
      </c>
      <c r="H13" s="2"/>
      <c r="I13" s="2">
        <v>19.5</v>
      </c>
      <c r="J13" s="5">
        <f t="shared" si="0"/>
        <v>18250.05</v>
      </c>
      <c r="K13" s="5"/>
      <c r="L13" s="2">
        <v>16.77</v>
      </c>
      <c r="M13" s="2">
        <f t="shared" si="1"/>
        <v>15695.043</v>
      </c>
    </row>
    <row r="14" spans="1:14">
      <c r="A14" s="2" t="s">
        <v>8</v>
      </c>
      <c r="B14" s="2" t="s">
        <v>10</v>
      </c>
      <c r="C14" s="2">
        <v>19</v>
      </c>
      <c r="D14" s="2"/>
      <c r="E14" s="2">
        <v>846.9</v>
      </c>
      <c r="F14" s="2"/>
      <c r="G14" s="2">
        <v>846.9</v>
      </c>
      <c r="H14" s="2"/>
      <c r="I14" s="2">
        <v>19.5</v>
      </c>
      <c r="J14" s="5">
        <f t="shared" si="0"/>
        <v>16514.55</v>
      </c>
      <c r="K14" s="5"/>
      <c r="L14" s="2">
        <v>16.77</v>
      </c>
      <c r="M14" s="2">
        <f t="shared" si="1"/>
        <v>14202.512999999999</v>
      </c>
    </row>
    <row r="15" spans="1:14">
      <c r="A15" s="2" t="s">
        <v>8</v>
      </c>
      <c r="B15" s="2" t="s">
        <v>11</v>
      </c>
      <c r="C15" s="2">
        <v>18</v>
      </c>
      <c r="D15" s="2"/>
      <c r="E15" s="2">
        <v>899.7</v>
      </c>
      <c r="F15" s="2"/>
      <c r="G15" s="2">
        <v>899.7</v>
      </c>
      <c r="H15" s="2"/>
      <c r="I15" s="2">
        <v>19.5</v>
      </c>
      <c r="J15" s="5">
        <f t="shared" si="0"/>
        <v>17544.150000000001</v>
      </c>
      <c r="K15" s="5"/>
      <c r="L15" s="2">
        <v>16.77</v>
      </c>
      <c r="M15" s="2">
        <f t="shared" si="1"/>
        <v>15087.969000000001</v>
      </c>
    </row>
    <row r="16" spans="1:14">
      <c r="A16" s="2" t="s">
        <v>8</v>
      </c>
      <c r="B16" s="2" t="s">
        <v>12</v>
      </c>
      <c r="C16" s="2">
        <v>17</v>
      </c>
      <c r="D16" s="2"/>
      <c r="E16" s="2">
        <v>911.2</v>
      </c>
      <c r="F16" s="2"/>
      <c r="G16" s="2">
        <v>911.2</v>
      </c>
      <c r="H16" s="2"/>
      <c r="I16" s="2">
        <v>19.5</v>
      </c>
      <c r="J16" s="5">
        <f t="shared" si="0"/>
        <v>17768.400000000001</v>
      </c>
      <c r="K16" s="5"/>
      <c r="L16" s="2">
        <v>16.77</v>
      </c>
      <c r="M16" s="2">
        <f t="shared" si="1"/>
        <v>15280.824000000001</v>
      </c>
    </row>
    <row r="17" spans="1:14">
      <c r="A17" s="2" t="s">
        <v>13</v>
      </c>
      <c r="B17" s="2">
        <v>15</v>
      </c>
      <c r="C17" s="2">
        <v>60</v>
      </c>
      <c r="D17" s="2"/>
      <c r="E17" s="2">
        <v>2600</v>
      </c>
      <c r="F17" s="2">
        <v>2600</v>
      </c>
      <c r="G17" s="2"/>
      <c r="H17" s="2"/>
      <c r="I17" s="2">
        <v>21.8</v>
      </c>
      <c r="J17" s="5">
        <f t="shared" si="0"/>
        <v>56680</v>
      </c>
      <c r="K17" s="5"/>
      <c r="L17" s="2">
        <v>17.57</v>
      </c>
      <c r="M17" s="2">
        <f t="shared" si="1"/>
        <v>45682</v>
      </c>
    </row>
    <row r="18" spans="1:14">
      <c r="A18" s="2" t="s">
        <v>14</v>
      </c>
      <c r="B18" s="2" t="s">
        <v>15</v>
      </c>
      <c r="C18" s="2">
        <v>4</v>
      </c>
      <c r="D18" s="2"/>
      <c r="E18" s="2">
        <v>261.8</v>
      </c>
      <c r="F18" s="2"/>
      <c r="G18" s="2">
        <v>261.8</v>
      </c>
      <c r="H18" s="2"/>
      <c r="I18" s="2">
        <v>19.5</v>
      </c>
      <c r="J18" s="5">
        <f t="shared" si="0"/>
        <v>5105.1000000000004</v>
      </c>
      <c r="K18" s="5"/>
      <c r="L18" s="2">
        <v>15.66</v>
      </c>
      <c r="M18" s="2">
        <f t="shared" si="1"/>
        <v>4099.7880000000005</v>
      </c>
    </row>
    <row r="19" spans="1:14">
      <c r="A19" s="2" t="s">
        <v>16</v>
      </c>
      <c r="B19" s="2" t="s">
        <v>6</v>
      </c>
      <c r="C19" s="2">
        <v>60</v>
      </c>
      <c r="D19" s="2"/>
      <c r="E19" s="2">
        <v>2582.5</v>
      </c>
      <c r="F19" s="2">
        <v>2582.5</v>
      </c>
      <c r="G19" s="2"/>
      <c r="H19" s="2"/>
      <c r="I19" s="2">
        <v>21.8</v>
      </c>
      <c r="J19" s="5">
        <f t="shared" si="0"/>
        <v>56298.5</v>
      </c>
      <c r="K19" s="5">
        <v>15.97</v>
      </c>
      <c r="L19" s="2">
        <v>17.57</v>
      </c>
      <c r="M19" s="2">
        <f t="shared" si="1"/>
        <v>45374.525000000001</v>
      </c>
      <c r="N19">
        <f>I19/K19</f>
        <v>1.3650594865372574</v>
      </c>
    </row>
    <row r="20" spans="1:14">
      <c r="A20" s="2" t="s">
        <v>16</v>
      </c>
      <c r="B20" s="2" t="s">
        <v>9</v>
      </c>
      <c r="C20" s="2">
        <v>60</v>
      </c>
      <c r="D20" s="2"/>
      <c r="E20" s="2">
        <v>2596</v>
      </c>
      <c r="F20" s="2">
        <v>2596</v>
      </c>
      <c r="G20" s="2"/>
      <c r="H20" s="2"/>
      <c r="I20" s="2">
        <v>21.8</v>
      </c>
      <c r="J20" s="5">
        <f t="shared" si="0"/>
        <v>56592.800000000003</v>
      </c>
      <c r="K20" s="5"/>
      <c r="L20" s="2">
        <v>17.57</v>
      </c>
      <c r="M20" s="2">
        <f t="shared" si="1"/>
        <v>45611.72</v>
      </c>
    </row>
    <row r="21" spans="1:14">
      <c r="A21" s="2" t="s">
        <v>17</v>
      </c>
      <c r="B21" s="2" t="s">
        <v>6</v>
      </c>
      <c r="C21" s="2">
        <v>4</v>
      </c>
      <c r="D21" s="2"/>
      <c r="E21" s="2">
        <v>222.4</v>
      </c>
      <c r="F21" s="2"/>
      <c r="G21" s="2"/>
      <c r="H21" s="2">
        <v>222.4</v>
      </c>
      <c r="I21" s="2">
        <v>32.58</v>
      </c>
      <c r="J21" s="5">
        <f t="shared" si="0"/>
        <v>7245.7919999999995</v>
      </c>
      <c r="K21" s="5"/>
      <c r="L21" s="2">
        <v>30.52</v>
      </c>
      <c r="M21" s="2">
        <f t="shared" si="1"/>
        <v>6787.6480000000001</v>
      </c>
    </row>
    <row r="22" spans="1:14">
      <c r="A22" s="2" t="s">
        <v>17</v>
      </c>
      <c r="B22" s="2">
        <v>4</v>
      </c>
      <c r="C22" s="2">
        <v>4</v>
      </c>
      <c r="D22" s="2"/>
      <c r="E22" s="2">
        <v>208.8</v>
      </c>
      <c r="F22" s="2"/>
      <c r="G22" s="2">
        <v>208.8</v>
      </c>
      <c r="H22" s="2"/>
      <c r="I22" s="2">
        <v>19.5</v>
      </c>
      <c r="J22" s="5">
        <f t="shared" si="0"/>
        <v>4071.6000000000004</v>
      </c>
      <c r="K22" s="5"/>
      <c r="L22" s="2">
        <v>16.77</v>
      </c>
      <c r="M22" s="2">
        <f t="shared" si="1"/>
        <v>3501.576</v>
      </c>
    </row>
    <row r="23" spans="1:14">
      <c r="A23" s="2" t="s">
        <v>17</v>
      </c>
      <c r="B23" s="2">
        <v>6</v>
      </c>
      <c r="C23" s="2">
        <v>8</v>
      </c>
      <c r="D23" s="2"/>
      <c r="E23" s="2">
        <v>355.4</v>
      </c>
      <c r="F23" s="2"/>
      <c r="G23" s="2"/>
      <c r="H23" s="2">
        <v>355.4</v>
      </c>
      <c r="I23" s="2">
        <v>32.58</v>
      </c>
      <c r="J23" s="5">
        <f t="shared" si="0"/>
        <v>11578.931999999999</v>
      </c>
      <c r="K23" s="5"/>
      <c r="L23" s="2">
        <v>26.23</v>
      </c>
      <c r="M23" s="2">
        <f t="shared" si="1"/>
        <v>9322.1419999999998</v>
      </c>
    </row>
    <row r="24" spans="1:14">
      <c r="A24" s="2" t="s">
        <v>17</v>
      </c>
      <c r="B24" s="2">
        <v>14</v>
      </c>
      <c r="C24" s="2">
        <v>18</v>
      </c>
      <c r="D24" s="2"/>
      <c r="E24" s="2">
        <v>719.52</v>
      </c>
      <c r="F24" s="2"/>
      <c r="G24" s="2"/>
      <c r="H24" s="2">
        <v>719.52</v>
      </c>
      <c r="I24" s="2">
        <v>32.58</v>
      </c>
      <c r="J24" s="5">
        <f t="shared" si="0"/>
        <v>23441.961599999999</v>
      </c>
      <c r="K24" s="5"/>
      <c r="L24" s="2">
        <v>30.52</v>
      </c>
      <c r="M24" s="2">
        <f t="shared" si="1"/>
        <v>21959.750400000001</v>
      </c>
    </row>
    <row r="25" spans="1:14">
      <c r="A25" s="2" t="s">
        <v>17</v>
      </c>
      <c r="B25" s="2">
        <v>16</v>
      </c>
      <c r="C25" s="2">
        <v>16</v>
      </c>
      <c r="D25" s="2"/>
      <c r="E25" s="2">
        <v>728.2</v>
      </c>
      <c r="F25" s="2"/>
      <c r="G25" s="2"/>
      <c r="H25" s="2">
        <v>728.2</v>
      </c>
      <c r="I25" s="2">
        <v>32.58</v>
      </c>
      <c r="J25" s="5">
        <f t="shared" si="0"/>
        <v>23724.756000000001</v>
      </c>
      <c r="K25" s="5"/>
      <c r="L25" s="2">
        <v>30.52</v>
      </c>
      <c r="M25" s="2">
        <f t="shared" si="1"/>
        <v>22224.664000000001</v>
      </c>
    </row>
    <row r="26" spans="1:14">
      <c r="A26" s="2" t="s">
        <v>17</v>
      </c>
      <c r="B26" s="2">
        <v>18</v>
      </c>
      <c r="C26" s="2">
        <v>16</v>
      </c>
      <c r="D26" s="2"/>
      <c r="E26" s="2">
        <v>738.6</v>
      </c>
      <c r="F26" s="2"/>
      <c r="G26" s="2"/>
      <c r="H26" s="2">
        <v>738.6</v>
      </c>
      <c r="I26" s="2">
        <v>32.58</v>
      </c>
      <c r="J26" s="5">
        <f t="shared" si="0"/>
        <v>24063.588</v>
      </c>
      <c r="K26" s="5"/>
      <c r="L26" s="2">
        <v>30.52</v>
      </c>
      <c r="M26" s="2">
        <f t="shared" si="1"/>
        <v>22542.072</v>
      </c>
    </row>
    <row r="27" spans="1:14">
      <c r="A27" s="2" t="s">
        <v>17</v>
      </c>
      <c r="B27" s="2">
        <v>20</v>
      </c>
      <c r="C27" s="2">
        <v>17</v>
      </c>
      <c r="D27" s="2"/>
      <c r="E27" s="2">
        <v>721.8</v>
      </c>
      <c r="F27" s="2"/>
      <c r="G27" s="2"/>
      <c r="H27" s="2">
        <v>721.8</v>
      </c>
      <c r="I27" s="2">
        <v>32.58</v>
      </c>
      <c r="J27" s="5">
        <f t="shared" si="0"/>
        <v>23516.243999999999</v>
      </c>
      <c r="K27" s="5"/>
      <c r="L27" s="2">
        <v>30.52</v>
      </c>
      <c r="M27" s="2">
        <f t="shared" si="1"/>
        <v>22029.335999999999</v>
      </c>
    </row>
    <row r="28" spans="1:14">
      <c r="A28" s="2" t="s">
        <v>17</v>
      </c>
      <c r="B28" s="2" t="s">
        <v>18</v>
      </c>
      <c r="C28" s="2">
        <v>16</v>
      </c>
      <c r="D28" s="2"/>
      <c r="E28" s="2">
        <v>783.1</v>
      </c>
      <c r="F28" s="2"/>
      <c r="G28" s="2"/>
      <c r="H28" s="2">
        <v>783.1</v>
      </c>
      <c r="I28" s="2">
        <v>32.58</v>
      </c>
      <c r="J28" s="5">
        <f t="shared" si="0"/>
        <v>25513.398000000001</v>
      </c>
      <c r="K28" s="5"/>
      <c r="L28" s="2">
        <v>26.23</v>
      </c>
      <c r="M28" s="2">
        <f t="shared" si="1"/>
        <v>20540.713</v>
      </c>
    </row>
    <row r="29" spans="1:14">
      <c r="A29" s="2" t="s">
        <v>19</v>
      </c>
      <c r="B29" s="2">
        <v>2</v>
      </c>
      <c r="C29" s="2">
        <v>4</v>
      </c>
      <c r="D29" s="2"/>
      <c r="E29" s="2">
        <v>222.1</v>
      </c>
      <c r="F29" s="2"/>
      <c r="G29" s="2"/>
      <c r="H29" s="2">
        <v>222.1</v>
      </c>
      <c r="I29" s="2">
        <v>32.58</v>
      </c>
      <c r="J29" s="5">
        <f t="shared" si="0"/>
        <v>7236.0179999999991</v>
      </c>
      <c r="K29" s="5"/>
      <c r="L29" s="2">
        <v>16.77</v>
      </c>
      <c r="M29" s="2">
        <f t="shared" si="1"/>
        <v>3724.6169999999997</v>
      </c>
    </row>
    <row r="30" spans="1:14">
      <c r="A30" s="2" t="s">
        <v>19</v>
      </c>
      <c r="B30" s="2" t="s">
        <v>6</v>
      </c>
      <c r="C30" s="2">
        <v>120</v>
      </c>
      <c r="D30" s="2"/>
      <c r="E30" s="2">
        <v>5120.2</v>
      </c>
      <c r="F30" s="2">
        <v>5120.2</v>
      </c>
      <c r="G30" s="2"/>
      <c r="H30" s="2"/>
      <c r="I30" s="2">
        <v>21.8</v>
      </c>
      <c r="J30" s="5">
        <f t="shared" si="0"/>
        <v>111620.36</v>
      </c>
      <c r="K30" s="5"/>
      <c r="L30" s="2">
        <v>17.57</v>
      </c>
      <c r="M30" s="2">
        <f t="shared" si="1"/>
        <v>89961.914000000004</v>
      </c>
    </row>
    <row r="31" spans="1:14">
      <c r="A31" s="2" t="s">
        <v>19</v>
      </c>
      <c r="B31" s="2" t="s">
        <v>9</v>
      </c>
      <c r="C31" s="2">
        <v>59</v>
      </c>
      <c r="D31" s="2"/>
      <c r="E31" s="2">
        <v>2514.5</v>
      </c>
      <c r="F31" s="2">
        <v>2514.5</v>
      </c>
      <c r="G31" s="2"/>
      <c r="H31" s="2"/>
      <c r="I31" s="2">
        <v>21.8</v>
      </c>
      <c r="J31" s="5">
        <f t="shared" si="0"/>
        <v>54816.1</v>
      </c>
      <c r="K31" s="5"/>
      <c r="L31" s="2">
        <v>17.57</v>
      </c>
      <c r="M31" s="2">
        <f t="shared" si="1"/>
        <v>44179.764999999999</v>
      </c>
    </row>
    <row r="32" spans="1:14">
      <c r="A32" s="2" t="s">
        <v>19</v>
      </c>
      <c r="B32" s="2" t="s">
        <v>11</v>
      </c>
      <c r="C32" s="2">
        <v>60</v>
      </c>
      <c r="D32" s="2"/>
      <c r="E32" s="2">
        <v>2564.1999999999998</v>
      </c>
      <c r="F32" s="2">
        <v>2564.1999999999998</v>
      </c>
      <c r="G32" s="2"/>
      <c r="H32" s="2"/>
      <c r="I32" s="2">
        <v>21.8</v>
      </c>
      <c r="J32" s="5">
        <f t="shared" si="0"/>
        <v>55899.56</v>
      </c>
      <c r="K32" s="5"/>
      <c r="L32" s="2">
        <v>17.57</v>
      </c>
      <c r="M32" s="2">
        <f t="shared" si="1"/>
        <v>45052.993999999999</v>
      </c>
    </row>
    <row r="33" spans="1:17">
      <c r="A33" s="2" t="s">
        <v>19</v>
      </c>
      <c r="B33" s="2" t="s">
        <v>7</v>
      </c>
      <c r="C33" s="2">
        <v>62</v>
      </c>
      <c r="D33" s="2"/>
      <c r="E33" s="2">
        <v>2637.5</v>
      </c>
      <c r="F33" s="2">
        <v>2637.5</v>
      </c>
      <c r="G33" s="2"/>
      <c r="H33" s="2"/>
      <c r="I33" s="2">
        <v>21.8</v>
      </c>
      <c r="J33" s="5">
        <f t="shared" si="0"/>
        <v>57497.5</v>
      </c>
      <c r="K33" s="5"/>
      <c r="L33" s="2">
        <v>17.57</v>
      </c>
      <c r="M33" s="2">
        <f t="shared" si="1"/>
        <v>46340.875</v>
      </c>
    </row>
    <row r="34" spans="1:17">
      <c r="A34" s="2" t="s">
        <v>19</v>
      </c>
      <c r="B34" s="2" t="s">
        <v>20</v>
      </c>
      <c r="C34" s="2">
        <v>114</v>
      </c>
      <c r="D34" s="2"/>
      <c r="E34" s="2">
        <v>2334.8000000000002</v>
      </c>
      <c r="F34" s="2">
        <v>2334.8000000000002</v>
      </c>
      <c r="G34" s="2"/>
      <c r="H34" s="2"/>
      <c r="I34" s="2">
        <v>21.8</v>
      </c>
      <c r="J34" s="5">
        <f t="shared" si="0"/>
        <v>50898.640000000007</v>
      </c>
      <c r="K34" s="5"/>
      <c r="L34" s="2">
        <v>17.57</v>
      </c>
      <c r="M34" s="2">
        <f t="shared" si="1"/>
        <v>41022.436000000002</v>
      </c>
      <c r="N34">
        <v>32.58</v>
      </c>
      <c r="O34">
        <f>N34*E34</f>
        <v>76067.784</v>
      </c>
    </row>
    <row r="35" spans="1:17">
      <c r="A35" s="2" t="s">
        <v>19</v>
      </c>
      <c r="B35" s="2" t="s">
        <v>21</v>
      </c>
      <c r="C35" s="2">
        <v>122</v>
      </c>
      <c r="D35" s="2"/>
      <c r="E35" s="2">
        <v>2348.9</v>
      </c>
      <c r="F35" s="2">
        <v>2348.9</v>
      </c>
      <c r="G35" s="2"/>
      <c r="H35" s="2"/>
      <c r="I35" s="2">
        <v>21.8</v>
      </c>
      <c r="J35" s="5">
        <f t="shared" si="0"/>
        <v>51206.020000000004</v>
      </c>
      <c r="K35" s="5"/>
      <c r="L35" s="2">
        <v>17.57</v>
      </c>
      <c r="M35" s="2">
        <f t="shared" si="1"/>
        <v>41270.173000000003</v>
      </c>
      <c r="N35">
        <v>32.58</v>
      </c>
      <c r="O35">
        <f>N35*E35</f>
        <v>76527.161999999997</v>
      </c>
    </row>
    <row r="36" spans="1:17">
      <c r="A36" s="2" t="s">
        <v>19</v>
      </c>
      <c r="B36" s="2" t="s">
        <v>3</v>
      </c>
      <c r="C36" s="2">
        <v>60</v>
      </c>
      <c r="D36" s="2"/>
      <c r="E36" s="2">
        <v>3230.36</v>
      </c>
      <c r="F36" s="2">
        <v>3230.36</v>
      </c>
      <c r="G36" s="2"/>
      <c r="H36" s="2"/>
      <c r="I36" s="2">
        <v>21.8</v>
      </c>
      <c r="J36" s="5">
        <f t="shared" si="0"/>
        <v>70421.847999999998</v>
      </c>
      <c r="K36" s="5"/>
      <c r="L36" s="2">
        <v>17.57</v>
      </c>
      <c r="M36" s="2">
        <f t="shared" si="1"/>
        <v>56757.425200000005</v>
      </c>
    </row>
    <row r="37" spans="1:17">
      <c r="A37" s="2" t="s">
        <v>19</v>
      </c>
      <c r="B37" s="2" t="s">
        <v>22</v>
      </c>
      <c r="C37" s="2">
        <v>70</v>
      </c>
      <c r="D37" s="2"/>
      <c r="E37" s="2">
        <v>2360.1</v>
      </c>
      <c r="F37" s="2">
        <v>2360.1</v>
      </c>
      <c r="G37" s="2"/>
      <c r="H37" s="2"/>
      <c r="I37" s="2">
        <v>21.8</v>
      </c>
      <c r="J37" s="5">
        <f t="shared" si="0"/>
        <v>51450.18</v>
      </c>
      <c r="K37" s="5"/>
      <c r="L37" s="2">
        <v>17.57</v>
      </c>
      <c r="M37" s="2">
        <f t="shared" si="1"/>
        <v>41466.957000000002</v>
      </c>
    </row>
    <row r="38" spans="1:17">
      <c r="A38" s="2" t="s">
        <v>23</v>
      </c>
      <c r="B38" s="2" t="s">
        <v>24</v>
      </c>
      <c r="C38" s="2">
        <v>24</v>
      </c>
      <c r="D38" s="2"/>
      <c r="E38" s="2">
        <v>1236.4000000000001</v>
      </c>
      <c r="F38" s="2"/>
      <c r="G38" s="2"/>
      <c r="H38" s="2">
        <v>1236.4000000000001</v>
      </c>
      <c r="I38" s="5">
        <v>32.58</v>
      </c>
      <c r="J38" s="5">
        <f t="shared" si="0"/>
        <v>40281.912000000004</v>
      </c>
      <c r="K38" s="5"/>
      <c r="L38" s="2">
        <v>30.52</v>
      </c>
      <c r="M38" s="2">
        <f t="shared" si="1"/>
        <v>37734.928</v>
      </c>
    </row>
    <row r="39" spans="1:17">
      <c r="A39" s="3" t="s">
        <v>33</v>
      </c>
      <c r="B39" s="3"/>
      <c r="C39" s="3">
        <v>1902</v>
      </c>
      <c r="D39" s="3"/>
      <c r="E39" s="3">
        <f>SUM(E5:E38)</f>
        <v>48190.810000000005</v>
      </c>
      <c r="F39" s="3">
        <f>SUM(F5:F38)</f>
        <v>30889.06</v>
      </c>
      <c r="G39" s="3">
        <f>SUM(G5:G38)</f>
        <v>9956.0299999999988</v>
      </c>
      <c r="H39" s="3">
        <f>SUM(H5:H38)</f>
        <v>7345.7200000000012</v>
      </c>
      <c r="I39" s="2"/>
      <c r="J39" s="5">
        <f>SUM(J5:J38)</f>
        <v>1106847.6506000001</v>
      </c>
      <c r="K39" s="5"/>
      <c r="L39" s="2"/>
      <c r="M39" s="2">
        <f>SUM(M5:M38)</f>
        <v>925646.14370000002</v>
      </c>
      <c r="O39">
        <f>SUM(O34:O38)</f>
        <v>152594.946</v>
      </c>
      <c r="Q39">
        <f>M39+O39</f>
        <v>1078241.0896999999</v>
      </c>
    </row>
    <row r="40" spans="1:17">
      <c r="F40">
        <f>F39*18.85*12/1000</f>
        <v>6987.1053720000018</v>
      </c>
      <c r="G40">
        <f>G39*17.83*12/1000</f>
        <v>2130.1921787999995</v>
      </c>
      <c r="H40">
        <f>H39*30.24*12/1000</f>
        <v>2665.6148736000005</v>
      </c>
      <c r="J40">
        <v>1187421.55</v>
      </c>
    </row>
    <row r="41" spans="1:17">
      <c r="H41">
        <f>F40+G40+H40</f>
        <v>11782.912424400001</v>
      </c>
      <c r="J41" s="4">
        <f>J39-J40</f>
        <v>-80573.899399999995</v>
      </c>
      <c r="K41" s="4"/>
    </row>
    <row r="42" spans="1:17">
      <c r="J42">
        <f>J39*12</f>
        <v>13282171.8072</v>
      </c>
    </row>
    <row r="43" spans="1:17">
      <c r="A43" t="s">
        <v>34</v>
      </c>
      <c r="C43">
        <f>F39</f>
        <v>30889.06</v>
      </c>
      <c r="J43">
        <v>1053641</v>
      </c>
    </row>
    <row r="44" spans="1:17">
      <c r="A44" t="s">
        <v>35</v>
      </c>
      <c r="C44">
        <f>G39</f>
        <v>9956.0299999999988</v>
      </c>
      <c r="J44">
        <v>13275885</v>
      </c>
    </row>
    <row r="45" spans="1:17">
      <c r="A45" t="s">
        <v>36</v>
      </c>
      <c r="C45">
        <f>H39</f>
        <v>7345.7200000000012</v>
      </c>
      <c r="J45">
        <f>J42-J44</f>
        <v>6286.8071999996901</v>
      </c>
    </row>
    <row r="46" spans="1:17">
      <c r="A46" t="s">
        <v>46</v>
      </c>
      <c r="C46">
        <v>783.1</v>
      </c>
    </row>
    <row r="48" spans="1:17">
      <c r="A48" t="s">
        <v>40</v>
      </c>
      <c r="C48">
        <f>C43+E38</f>
        <v>32125.460000000003</v>
      </c>
    </row>
    <row r="51" spans="1:9">
      <c r="A51" t="s">
        <v>41</v>
      </c>
      <c r="C51">
        <v>8477.7000000000007</v>
      </c>
      <c r="H51">
        <v>92</v>
      </c>
      <c r="I51">
        <f>(15383.4/12-209.8)/(48190.81+962.3)*1000</f>
        <v>21.812455000304155</v>
      </c>
    </row>
    <row r="52" spans="1:9">
      <c r="A52" t="s">
        <v>42</v>
      </c>
      <c r="C52">
        <f>658.84-52.9</f>
        <v>605.94000000000005</v>
      </c>
      <c r="E52">
        <f>C52/C45/7*1000</f>
        <v>11.784121521492398</v>
      </c>
      <c r="G52">
        <f>C52*1.18</f>
        <v>715.00920000000008</v>
      </c>
      <c r="H52">
        <f>G52/7</f>
        <v>102.14417142857144</v>
      </c>
    </row>
    <row r="53" spans="1:9">
      <c r="A53" t="s">
        <v>45</v>
      </c>
      <c r="C53">
        <v>52.9</v>
      </c>
      <c r="E53">
        <f>C53*1000/C46/7</f>
        <v>9.6502909681303244</v>
      </c>
      <c r="G53">
        <f>C53*1.18</f>
        <v>62.421999999999997</v>
      </c>
      <c r="H53">
        <f>G53/7</f>
        <v>8.9174285714285713</v>
      </c>
    </row>
    <row r="54" spans="1:9">
      <c r="A54" t="s">
        <v>43</v>
      </c>
      <c r="C54">
        <f>(409.8+145.2)+14*7</f>
        <v>653</v>
      </c>
      <c r="E54">
        <f>C54*1000/E39/7</f>
        <v>1.93575734223422</v>
      </c>
      <c r="H54">
        <f>0.25*7.8*1.12*1.342</f>
        <v>2.9309280000000002</v>
      </c>
    </row>
    <row r="55" spans="1:9">
      <c r="A55" t="s">
        <v>47</v>
      </c>
      <c r="C55">
        <v>759.11</v>
      </c>
      <c r="E55">
        <f>C55*1000/C48/7</f>
        <v>3.3756492736379715</v>
      </c>
      <c r="G55">
        <f>10*7.8*1.12*1.342</f>
        <v>117.23712000000002</v>
      </c>
      <c r="H55">
        <f>G55*1000/C43</f>
        <v>3.7954253059173708</v>
      </c>
    </row>
    <row r="56" spans="1:9">
      <c r="H56">
        <f>SUM(H51:H55)</f>
        <v>209.78795330591737</v>
      </c>
    </row>
    <row r="57" spans="1:9" ht="53.25" customHeight="1">
      <c r="C57" s="53" t="s">
        <v>123</v>
      </c>
      <c r="D57" s="53"/>
      <c r="E57" s="53"/>
    </row>
    <row r="58" spans="1:9" ht="53.25" customHeight="1">
      <c r="B58" s="66" t="s">
        <v>158</v>
      </c>
      <c r="C58" s="66"/>
      <c r="D58" s="66"/>
      <c r="E58" s="66"/>
    </row>
    <row r="59" spans="1:9" ht="53.25" customHeight="1">
      <c r="A59" s="70" t="s">
        <v>145</v>
      </c>
      <c r="B59" s="70"/>
      <c r="C59" s="70"/>
      <c r="D59" s="70"/>
      <c r="E59" s="70"/>
    </row>
    <row r="60" spans="1:9" ht="84" customHeight="1">
      <c r="A60" s="10" t="s">
        <v>141</v>
      </c>
      <c r="B60" s="16" t="s">
        <v>142</v>
      </c>
      <c r="C60" s="10" t="s">
        <v>143</v>
      </c>
      <c r="D60" s="10" t="s">
        <v>148</v>
      </c>
      <c r="E60" s="10" t="s">
        <v>144</v>
      </c>
    </row>
    <row r="61" spans="1:9">
      <c r="A61" s="71" t="s">
        <v>48</v>
      </c>
      <c r="B61" s="2" t="s">
        <v>49</v>
      </c>
      <c r="C61" s="2"/>
      <c r="D61" s="2"/>
      <c r="E61" s="30">
        <v>14.78</v>
      </c>
    </row>
    <row r="62" spans="1:9">
      <c r="A62" s="72"/>
      <c r="B62" s="2" t="s">
        <v>62</v>
      </c>
      <c r="C62" s="2"/>
      <c r="D62" s="2"/>
      <c r="E62" s="29">
        <v>1.33</v>
      </c>
    </row>
    <row r="63" spans="1:9">
      <c r="A63" s="72"/>
      <c r="B63" s="2" t="s">
        <v>121</v>
      </c>
      <c r="C63" s="2"/>
      <c r="D63" s="2"/>
      <c r="E63" s="29">
        <v>2.74</v>
      </c>
      <c r="G63">
        <v>1.94</v>
      </c>
    </row>
    <row r="64" spans="1:9">
      <c r="A64" s="72"/>
      <c r="B64" s="2" t="s">
        <v>122</v>
      </c>
      <c r="C64" s="2"/>
      <c r="D64" s="2">
        <v>0.31</v>
      </c>
      <c r="E64" s="29">
        <v>0.31</v>
      </c>
    </row>
    <row r="65" spans="1:11">
      <c r="A65" s="72"/>
      <c r="B65" s="2" t="s">
        <v>149</v>
      </c>
      <c r="C65" s="2"/>
      <c r="D65" s="2">
        <v>0.74</v>
      </c>
      <c r="E65" s="29"/>
    </row>
    <row r="66" spans="1:11">
      <c r="A66" s="73"/>
      <c r="B66" s="2"/>
      <c r="C66" s="3">
        <v>15.97</v>
      </c>
      <c r="D66" s="3">
        <f>C66*1.2+0.31+0.74</f>
        <v>20.213999999999999</v>
      </c>
      <c r="E66" s="34">
        <f>SUM(E61:E64)</f>
        <v>19.16</v>
      </c>
      <c r="F66" s="4">
        <f>E66/C66</f>
        <v>1.1997495303694428</v>
      </c>
      <c r="G66">
        <f>D66/C66</f>
        <v>1.2657482780212899</v>
      </c>
    </row>
    <row r="67" spans="1:11">
      <c r="A67" s="71" t="s">
        <v>52</v>
      </c>
      <c r="B67" s="2" t="s">
        <v>49</v>
      </c>
      <c r="C67" s="2"/>
      <c r="D67" s="2"/>
      <c r="E67" s="30">
        <v>14.78</v>
      </c>
      <c r="F67" s="4"/>
    </row>
    <row r="68" spans="1:11">
      <c r="A68" s="72"/>
      <c r="B68" s="2" t="s">
        <v>121</v>
      </c>
      <c r="C68" s="2"/>
      <c r="D68" s="2"/>
      <c r="E68" s="29">
        <v>2.74</v>
      </c>
      <c r="F68" s="4"/>
      <c r="G68">
        <v>1.94</v>
      </c>
      <c r="I68">
        <f>2.41+3.41+9.17+0.31+1.68</f>
        <v>16.98</v>
      </c>
      <c r="J68" t="s">
        <v>61</v>
      </c>
    </row>
    <row r="69" spans="1:11">
      <c r="A69" s="72"/>
      <c r="B69" s="2" t="s">
        <v>122</v>
      </c>
      <c r="C69" s="2"/>
      <c r="D69" s="2">
        <v>0.31</v>
      </c>
      <c r="E69" s="29">
        <v>0.31</v>
      </c>
      <c r="F69" s="4"/>
    </row>
    <row r="70" spans="1:11">
      <c r="A70" s="73"/>
      <c r="B70" s="2"/>
      <c r="C70" s="3">
        <v>15.24</v>
      </c>
      <c r="D70" s="3">
        <f>C70*1.2+0.31</f>
        <v>18.597999999999999</v>
      </c>
      <c r="E70" s="34">
        <f>SUM(E67:E69)</f>
        <v>17.829999999999998</v>
      </c>
      <c r="F70" s="4">
        <f>E70/C70</f>
        <v>1.1699475065616796</v>
      </c>
      <c r="G70">
        <f>D70/C70</f>
        <v>1.2203412073490814</v>
      </c>
      <c r="I70">
        <v>1.94</v>
      </c>
      <c r="J70" t="s">
        <v>43</v>
      </c>
    </row>
    <row r="71" spans="1:11">
      <c r="A71" s="71" t="s">
        <v>50</v>
      </c>
      <c r="B71" s="2" t="s">
        <v>51</v>
      </c>
      <c r="C71" s="2"/>
      <c r="D71" s="2"/>
      <c r="E71" s="30">
        <v>14.78</v>
      </c>
      <c r="F71" s="4"/>
      <c r="J71" t="s">
        <v>120</v>
      </c>
    </row>
    <row r="72" spans="1:11">
      <c r="A72" s="72"/>
      <c r="B72" s="2" t="s">
        <v>121</v>
      </c>
      <c r="C72" s="2"/>
      <c r="D72" s="2"/>
      <c r="E72" s="29">
        <v>2.74</v>
      </c>
      <c r="F72" s="4"/>
      <c r="G72">
        <v>1.94</v>
      </c>
      <c r="I72">
        <v>18.850000000000001</v>
      </c>
    </row>
    <row r="73" spans="1:11">
      <c r="A73" s="72"/>
      <c r="B73" s="2" t="s">
        <v>124</v>
      </c>
      <c r="C73" s="2"/>
      <c r="D73" s="2"/>
      <c r="E73" s="30">
        <v>12.41</v>
      </c>
      <c r="F73" s="4"/>
      <c r="G73">
        <v>11.78</v>
      </c>
    </row>
    <row r="74" spans="1:11">
      <c r="A74" s="72"/>
      <c r="B74" s="2" t="s">
        <v>122</v>
      </c>
      <c r="C74" s="2"/>
      <c r="D74" s="2">
        <v>0.31</v>
      </c>
      <c r="E74" s="30">
        <v>0.31</v>
      </c>
      <c r="F74" s="4"/>
    </row>
    <row r="75" spans="1:11">
      <c r="A75" s="73"/>
      <c r="B75" s="2"/>
      <c r="C75" s="3">
        <v>27.74</v>
      </c>
      <c r="D75" s="3">
        <f>C75*1.2+0.31</f>
        <v>33.597999999999999</v>
      </c>
      <c r="E75" s="34">
        <v>30.24</v>
      </c>
      <c r="F75" s="4">
        <f>E75/C75</f>
        <v>1.0901225666906993</v>
      </c>
      <c r="G75">
        <f>D75/C75</f>
        <v>1.2111751982696468</v>
      </c>
    </row>
    <row r="76" spans="1:11">
      <c r="A76" s="67" t="s">
        <v>63</v>
      </c>
      <c r="B76" s="2" t="s">
        <v>49</v>
      </c>
      <c r="C76" s="2"/>
      <c r="D76" s="2"/>
      <c r="E76" s="30">
        <v>15.09</v>
      </c>
      <c r="F76" s="4"/>
    </row>
    <row r="77" spans="1:11">
      <c r="A77" s="68"/>
      <c r="B77" s="2" t="s">
        <v>121</v>
      </c>
      <c r="C77" s="2"/>
      <c r="D77" s="2"/>
      <c r="E77" s="30">
        <v>2.74</v>
      </c>
      <c r="F77" s="4"/>
      <c r="K77">
        <v>2.74</v>
      </c>
    </row>
    <row r="78" spans="1:11">
      <c r="A78" s="68"/>
      <c r="B78" s="2" t="s">
        <v>124</v>
      </c>
      <c r="C78" s="2"/>
      <c r="D78" s="2"/>
      <c r="E78" s="30">
        <v>9.66</v>
      </c>
      <c r="F78" s="4"/>
    </row>
    <row r="79" spans="1:11">
      <c r="A79" s="68"/>
      <c r="B79" s="2" t="s">
        <v>122</v>
      </c>
      <c r="C79" s="2"/>
      <c r="D79" s="2">
        <v>0.31</v>
      </c>
      <c r="E79" s="30">
        <v>0.31</v>
      </c>
      <c r="F79" s="4"/>
    </row>
    <row r="80" spans="1:11">
      <c r="A80" s="69"/>
      <c r="B80" s="2"/>
      <c r="C80" s="3">
        <v>23.84</v>
      </c>
      <c r="D80" s="3">
        <f>C80*1.2+0.31</f>
        <v>28.917999999999999</v>
      </c>
      <c r="E80" s="34">
        <v>27.8</v>
      </c>
      <c r="F80" s="4">
        <f>E80/C80</f>
        <v>1.1661073825503356</v>
      </c>
      <c r="G80">
        <f>D80/C80</f>
        <v>1.213003355704698</v>
      </c>
    </row>
    <row r="82" spans="1:10" ht="53.25" customHeight="1">
      <c r="A82" s="39"/>
      <c r="B82" s="54" t="s">
        <v>158</v>
      </c>
      <c r="C82" s="54"/>
      <c r="D82" s="54"/>
      <c r="E82" s="54"/>
    </row>
    <row r="83" spans="1:10" ht="53.25" customHeight="1">
      <c r="A83" s="55" t="s">
        <v>145</v>
      </c>
      <c r="B83" s="55"/>
      <c r="C83" s="55"/>
      <c r="D83" s="55"/>
      <c r="E83" s="55"/>
    </row>
    <row r="84" spans="1:10" ht="97.5" customHeight="1">
      <c r="A84" s="40" t="s">
        <v>141</v>
      </c>
      <c r="B84" s="41" t="s">
        <v>142</v>
      </c>
      <c r="C84" s="40" t="s">
        <v>170</v>
      </c>
      <c r="D84" s="40" t="s">
        <v>171</v>
      </c>
      <c r="E84" s="40" t="s">
        <v>144</v>
      </c>
      <c r="J84">
        <v>1137.5999999999999</v>
      </c>
    </row>
    <row r="85" spans="1:10" ht="15.75">
      <c r="A85" s="56" t="s">
        <v>175</v>
      </c>
      <c r="B85" s="42" t="s">
        <v>165</v>
      </c>
      <c r="C85" s="42">
        <f>J84*D85*12</f>
        <v>221285.95199999999</v>
      </c>
      <c r="D85" s="42">
        <f>D89-D88-D87-D86</f>
        <v>16.21</v>
      </c>
      <c r="E85" s="43">
        <v>15.09</v>
      </c>
      <c r="F85" s="4"/>
      <c r="J85" t="s">
        <v>120</v>
      </c>
    </row>
    <row r="86" spans="1:10" ht="15.75">
      <c r="A86" s="57"/>
      <c r="B86" s="42" t="s">
        <v>172</v>
      </c>
      <c r="C86" s="48">
        <f>D86*J84*12</f>
        <v>37404.288</v>
      </c>
      <c r="D86" s="42">
        <v>2.74</v>
      </c>
      <c r="E86" s="44">
        <v>2.74</v>
      </c>
      <c r="F86" s="4"/>
      <c r="G86">
        <v>1.94</v>
      </c>
      <c r="I86">
        <v>18.850000000000001</v>
      </c>
    </row>
    <row r="87" spans="1:10" ht="15.75">
      <c r="A87" s="57"/>
      <c r="B87" s="42" t="s">
        <v>173</v>
      </c>
      <c r="C87" s="42">
        <f>J84*D87*12</f>
        <v>131870.59199999998</v>
      </c>
      <c r="D87" s="42">
        <v>9.66</v>
      </c>
      <c r="E87" s="43">
        <v>9.66</v>
      </c>
      <c r="F87" s="4"/>
      <c r="G87">
        <v>11.78</v>
      </c>
    </row>
    <row r="88" spans="1:10" ht="15.75">
      <c r="A88" s="57"/>
      <c r="B88" s="42" t="s">
        <v>174</v>
      </c>
      <c r="C88" s="48">
        <f>J84*12*0.31</f>
        <v>4231.8719999999994</v>
      </c>
      <c r="D88" s="42">
        <v>0.31</v>
      </c>
      <c r="E88" s="43">
        <v>0.31</v>
      </c>
      <c r="F88" s="4"/>
    </row>
    <row r="89" spans="1:10" ht="15.75">
      <c r="A89" s="58"/>
      <c r="B89" s="42"/>
      <c r="C89" s="45">
        <f>SUM(C85:C88)</f>
        <v>394792.70399999991</v>
      </c>
      <c r="D89" s="45">
        <v>28.92</v>
      </c>
      <c r="E89" s="46">
        <f>E88+E87+E86+E85</f>
        <v>27.8</v>
      </c>
      <c r="F89" s="4">
        <f>E89/C89</f>
        <v>7.0416701520400958E-5</v>
      </c>
      <c r="G89">
        <f>D89/C89</f>
        <v>7.3253633380215678E-5</v>
      </c>
      <c r="J89">
        <f>C89/J84/12</f>
        <v>28.919999999999998</v>
      </c>
    </row>
    <row r="90" spans="1:10" ht="15.75">
      <c r="A90" s="39"/>
      <c r="B90" s="39"/>
      <c r="C90" s="39"/>
      <c r="D90" s="39"/>
      <c r="E90" s="39"/>
    </row>
    <row r="91" spans="1:10" ht="15.75">
      <c r="A91" s="59" t="s">
        <v>125</v>
      </c>
      <c r="B91" s="59"/>
      <c r="C91" s="59"/>
      <c r="D91" s="59"/>
      <c r="E91" s="59"/>
      <c r="G91">
        <v>1053640</v>
      </c>
    </row>
    <row r="92" spans="1:10" ht="22.5" customHeight="1">
      <c r="A92" s="50" t="s">
        <v>159</v>
      </c>
      <c r="B92" s="50"/>
      <c r="C92" s="50"/>
      <c r="D92" s="50"/>
      <c r="E92" s="50"/>
    </row>
    <row r="93" spans="1:10" ht="15.75">
      <c r="A93" s="50" t="s">
        <v>160</v>
      </c>
      <c r="B93" s="50"/>
      <c r="C93" s="50"/>
      <c r="D93" s="50"/>
      <c r="E93" s="50"/>
    </row>
    <row r="94" spans="1:10" ht="15.75">
      <c r="A94" s="50" t="s">
        <v>161</v>
      </c>
      <c r="B94" s="50"/>
      <c r="C94" s="50"/>
      <c r="D94" s="50"/>
      <c r="E94" s="50"/>
    </row>
    <row r="95" spans="1:10" ht="15.75">
      <c r="A95" s="50" t="s">
        <v>162</v>
      </c>
      <c r="B95" s="50"/>
      <c r="C95" s="50"/>
      <c r="D95" s="50"/>
      <c r="E95" s="50"/>
    </row>
    <row r="96" spans="1:10" ht="25.5" customHeight="1">
      <c r="A96" s="50" t="s">
        <v>163</v>
      </c>
      <c r="B96" s="50"/>
      <c r="C96" s="50"/>
      <c r="D96" s="50"/>
      <c r="E96" s="50"/>
    </row>
    <row r="97" spans="1:7" ht="15.75">
      <c r="A97" s="50" t="s">
        <v>164</v>
      </c>
      <c r="B97" s="50"/>
      <c r="C97" s="50"/>
      <c r="D97" s="50"/>
      <c r="E97" s="50"/>
    </row>
    <row r="98" spans="1:7" ht="15.75">
      <c r="A98" s="50" t="s">
        <v>166</v>
      </c>
      <c r="B98" s="50"/>
      <c r="C98" s="50"/>
      <c r="D98" s="50"/>
      <c r="E98" s="50"/>
    </row>
    <row r="99" spans="1:7" ht="32.25" customHeight="1">
      <c r="A99" s="50" t="s">
        <v>167</v>
      </c>
      <c r="B99" s="50"/>
      <c r="C99" s="50"/>
      <c r="D99" s="50"/>
      <c r="E99" s="50"/>
    </row>
    <row r="100" spans="1:7" ht="33" customHeight="1">
      <c r="A100" s="50" t="s">
        <v>168</v>
      </c>
      <c r="B100" s="50"/>
      <c r="C100" s="50"/>
      <c r="D100" s="50"/>
      <c r="E100" s="50"/>
    </row>
    <row r="101" spans="1:7" ht="15.75">
      <c r="A101" s="47"/>
      <c r="B101" s="47"/>
      <c r="C101" s="47"/>
      <c r="D101" s="47"/>
      <c r="E101" s="47"/>
    </row>
    <row r="102" spans="1:7" ht="15.75">
      <c r="A102" s="51" t="s">
        <v>169</v>
      </c>
      <c r="B102" s="51"/>
      <c r="C102" s="51"/>
      <c r="D102" s="51"/>
      <c r="E102" s="51"/>
    </row>
    <row r="103" spans="1:7">
      <c r="A103" t="s">
        <v>55</v>
      </c>
      <c r="E103">
        <v>2280000</v>
      </c>
      <c r="F103">
        <v>32125.46</v>
      </c>
      <c r="G103">
        <f>E103/F103/12</f>
        <v>5.9143121997319268</v>
      </c>
    </row>
    <row r="104" spans="1:7">
      <c r="B104" t="e">
        <f>#REF!/#REF!/12</f>
        <v>#REF!</v>
      </c>
      <c r="G104" t="s">
        <v>89</v>
      </c>
    </row>
    <row r="105" spans="1:7">
      <c r="A105" t="s">
        <v>58</v>
      </c>
    </row>
    <row r="107" spans="1:7">
      <c r="A107" t="s">
        <v>57</v>
      </c>
    </row>
    <row r="108" spans="1:7">
      <c r="B108">
        <v>29.61</v>
      </c>
    </row>
  </sheetData>
  <mergeCells count="27">
    <mergeCell ref="J3:J4"/>
    <mergeCell ref="A3:A4"/>
    <mergeCell ref="B3:B4"/>
    <mergeCell ref="C3:C4"/>
    <mergeCell ref="E3:G3"/>
    <mergeCell ref="I3:I4"/>
    <mergeCell ref="C57:E57"/>
    <mergeCell ref="A59:E59"/>
    <mergeCell ref="A61:A66"/>
    <mergeCell ref="A67:A70"/>
    <mergeCell ref="A71:A75"/>
    <mergeCell ref="A102:E102"/>
    <mergeCell ref="A93:E93"/>
    <mergeCell ref="A94:E94"/>
    <mergeCell ref="B58:E58"/>
    <mergeCell ref="B82:E82"/>
    <mergeCell ref="A85:A89"/>
    <mergeCell ref="A95:E95"/>
    <mergeCell ref="A91:E91"/>
    <mergeCell ref="A92:E92"/>
    <mergeCell ref="A76:A80"/>
    <mergeCell ref="A83:E83"/>
    <mergeCell ref="A96:E96"/>
    <mergeCell ref="A97:E97"/>
    <mergeCell ref="A98:E98"/>
    <mergeCell ref="A99:E99"/>
    <mergeCell ref="A100:E100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8"/>
  <sheetViews>
    <sheetView topLeftCell="A42" workbookViewId="0">
      <selection activeCell="I60" sqref="I60"/>
    </sheetView>
  </sheetViews>
  <sheetFormatPr defaultRowHeight="15"/>
  <cols>
    <col min="1" max="1" width="23.5703125" customWidth="1"/>
    <col min="2" max="2" width="24.28515625" customWidth="1"/>
    <col min="3" max="3" width="12.5703125" customWidth="1"/>
    <col min="4" max="4" width="16" customWidth="1"/>
    <col min="5" max="5" width="11" customWidth="1"/>
    <col min="10" max="10" width="25.42578125" customWidth="1"/>
    <col min="11" max="11" width="12.42578125" customWidth="1"/>
  </cols>
  <sheetData>
    <row r="1" spans="1:14">
      <c r="B1" t="s">
        <v>25</v>
      </c>
    </row>
    <row r="2" spans="1:14">
      <c r="A2" t="s">
        <v>26</v>
      </c>
      <c r="I2" t="s">
        <v>94</v>
      </c>
    </row>
    <row r="3" spans="1:14">
      <c r="A3" s="60" t="s">
        <v>27</v>
      </c>
      <c r="B3" s="60" t="s">
        <v>28</v>
      </c>
      <c r="C3" s="61" t="s">
        <v>29</v>
      </c>
      <c r="D3" s="35"/>
      <c r="E3" s="63" t="s">
        <v>30</v>
      </c>
      <c r="F3" s="63"/>
      <c r="G3" s="63"/>
      <c r="H3" s="36" t="s">
        <v>32</v>
      </c>
      <c r="I3" s="64" t="s">
        <v>59</v>
      </c>
      <c r="J3" s="64" t="s">
        <v>60</v>
      </c>
      <c r="K3" s="15"/>
    </row>
    <row r="4" spans="1:14">
      <c r="A4" s="60"/>
      <c r="B4" s="60"/>
      <c r="C4" s="62"/>
      <c r="D4" s="35"/>
      <c r="E4" s="36" t="s">
        <v>31</v>
      </c>
      <c r="F4" s="36" t="s">
        <v>37</v>
      </c>
      <c r="G4" s="36" t="s">
        <v>38</v>
      </c>
      <c r="H4" s="36" t="s">
        <v>39</v>
      </c>
      <c r="I4" s="65"/>
      <c r="J4" s="65"/>
      <c r="K4" s="15"/>
      <c r="L4" s="6">
        <v>0.1</v>
      </c>
    </row>
    <row r="5" spans="1:14">
      <c r="A5" s="2" t="s">
        <v>0</v>
      </c>
      <c r="B5" s="2">
        <v>1</v>
      </c>
      <c r="C5" s="2">
        <v>16</v>
      </c>
      <c r="D5" s="2"/>
      <c r="E5" s="2">
        <v>739</v>
      </c>
      <c r="F5" s="2"/>
      <c r="G5" s="2"/>
      <c r="H5" s="2">
        <v>739</v>
      </c>
      <c r="I5" s="5">
        <v>32.58</v>
      </c>
      <c r="J5" s="5">
        <f>I5*E5</f>
        <v>24076.62</v>
      </c>
      <c r="K5" s="5">
        <v>27.74</v>
      </c>
      <c r="L5" s="2">
        <v>30.52</v>
      </c>
      <c r="M5" s="2">
        <f>L5*E5</f>
        <v>22554.28</v>
      </c>
      <c r="N5">
        <f>I5/K5</f>
        <v>1.174477289113194</v>
      </c>
    </row>
    <row r="6" spans="1:14">
      <c r="A6" s="2" t="s">
        <v>0</v>
      </c>
      <c r="B6" s="2">
        <v>2</v>
      </c>
      <c r="C6" s="2">
        <v>18</v>
      </c>
      <c r="D6" s="2"/>
      <c r="E6" s="2">
        <v>879.2</v>
      </c>
      <c r="F6" s="2"/>
      <c r="G6" s="2"/>
      <c r="H6" s="2">
        <v>879.2</v>
      </c>
      <c r="I6" s="2">
        <v>32.58</v>
      </c>
      <c r="J6" s="5">
        <f t="shared" ref="J6:J38" si="0">I6*E6</f>
        <v>28644.335999999999</v>
      </c>
      <c r="K6" s="5"/>
      <c r="L6" s="2">
        <v>30.52</v>
      </c>
      <c r="M6" s="2">
        <f t="shared" ref="M6:M38" si="1">L6*E6</f>
        <v>26833.184000000001</v>
      </c>
    </row>
    <row r="7" spans="1:14">
      <c r="A7" s="2" t="s">
        <v>1</v>
      </c>
      <c r="B7" s="2" t="s">
        <v>2</v>
      </c>
      <c r="C7" s="2">
        <v>25</v>
      </c>
      <c r="D7" s="2"/>
      <c r="E7" s="2">
        <v>1599</v>
      </c>
      <c r="F7" s="2"/>
      <c r="G7" s="2">
        <v>1599</v>
      </c>
      <c r="H7" s="2"/>
      <c r="I7" s="2">
        <v>19.5</v>
      </c>
      <c r="J7" s="5">
        <f t="shared" si="0"/>
        <v>31180.5</v>
      </c>
      <c r="K7" s="5">
        <v>15.24</v>
      </c>
      <c r="L7" s="2">
        <v>16.77</v>
      </c>
      <c r="M7" s="2">
        <f t="shared" si="1"/>
        <v>26815.23</v>
      </c>
      <c r="N7">
        <f>I7/K7</f>
        <v>1.2795275590551181</v>
      </c>
    </row>
    <row r="8" spans="1:14">
      <c r="A8" s="2" t="s">
        <v>1</v>
      </c>
      <c r="B8" s="2" t="s">
        <v>3</v>
      </c>
      <c r="C8" s="2">
        <v>24</v>
      </c>
      <c r="D8" s="2"/>
      <c r="E8" s="2">
        <v>1256</v>
      </c>
      <c r="F8" s="2"/>
      <c r="G8" s="2">
        <v>1256</v>
      </c>
      <c r="H8" s="2"/>
      <c r="I8" s="2">
        <v>19.5</v>
      </c>
      <c r="J8" s="5">
        <f t="shared" si="0"/>
        <v>24492</v>
      </c>
      <c r="K8" s="5"/>
      <c r="L8" s="2">
        <v>16.77</v>
      </c>
      <c r="M8" s="2">
        <f t="shared" si="1"/>
        <v>21063.119999999999</v>
      </c>
    </row>
    <row r="9" spans="1:14">
      <c r="A9" s="2" t="s">
        <v>1</v>
      </c>
      <c r="B9" s="2" t="s">
        <v>4</v>
      </c>
      <c r="C9" s="2">
        <v>16</v>
      </c>
      <c r="D9" s="2"/>
      <c r="E9" s="2">
        <v>571.20000000000005</v>
      </c>
      <c r="F9" s="2"/>
      <c r="G9" s="2">
        <v>571.20000000000005</v>
      </c>
      <c r="H9" s="2"/>
      <c r="I9" s="2">
        <v>19.5</v>
      </c>
      <c r="J9" s="5">
        <f t="shared" si="0"/>
        <v>11138.400000000001</v>
      </c>
      <c r="K9" s="5"/>
      <c r="L9" s="2">
        <v>16.77</v>
      </c>
      <c r="M9" s="2">
        <f t="shared" si="1"/>
        <v>9579.0240000000013</v>
      </c>
    </row>
    <row r="10" spans="1:14">
      <c r="A10" s="2" t="s">
        <v>5</v>
      </c>
      <c r="B10" s="2">
        <v>1</v>
      </c>
      <c r="C10" s="2">
        <v>24</v>
      </c>
      <c r="D10" s="2"/>
      <c r="E10" s="2">
        <v>1064.0999999999999</v>
      </c>
      <c r="F10" s="2"/>
      <c r="G10" s="2">
        <v>1064.0999999999999</v>
      </c>
      <c r="H10" s="2"/>
      <c r="I10" s="2">
        <v>19.5</v>
      </c>
      <c r="J10" s="5">
        <f t="shared" si="0"/>
        <v>20749.949999999997</v>
      </c>
      <c r="K10" s="5"/>
      <c r="L10" s="2">
        <v>16.77</v>
      </c>
      <c r="M10" s="2">
        <f t="shared" si="1"/>
        <v>17844.956999999999</v>
      </c>
    </row>
    <row r="11" spans="1:14">
      <c r="A11" s="2" t="s">
        <v>5</v>
      </c>
      <c r="B11" s="2" t="s">
        <v>6</v>
      </c>
      <c r="C11" s="2">
        <v>16</v>
      </c>
      <c r="D11" s="2"/>
      <c r="E11" s="2">
        <v>710.6</v>
      </c>
      <c r="F11" s="2"/>
      <c r="G11" s="2">
        <v>710.6</v>
      </c>
      <c r="H11" s="2"/>
      <c r="I11" s="2">
        <v>19.5</v>
      </c>
      <c r="J11" s="5">
        <f t="shared" si="0"/>
        <v>13856.7</v>
      </c>
      <c r="K11" s="5"/>
      <c r="L11" s="2">
        <v>16.77</v>
      </c>
      <c r="M11" s="2">
        <f t="shared" si="1"/>
        <v>11916.762000000001</v>
      </c>
    </row>
    <row r="12" spans="1:14">
      <c r="A12" s="2" t="s">
        <v>5</v>
      </c>
      <c r="B12" s="2" t="s">
        <v>7</v>
      </c>
      <c r="C12" s="2">
        <v>12</v>
      </c>
      <c r="D12" s="2"/>
      <c r="E12" s="2">
        <v>690.83</v>
      </c>
      <c r="F12" s="2"/>
      <c r="G12" s="2">
        <v>690.83</v>
      </c>
      <c r="H12" s="2"/>
      <c r="I12" s="2">
        <v>19.5</v>
      </c>
      <c r="J12" s="5">
        <f t="shared" si="0"/>
        <v>13471.185000000001</v>
      </c>
      <c r="K12" s="5"/>
      <c r="L12" s="2">
        <v>16.77</v>
      </c>
      <c r="M12" s="2">
        <f t="shared" si="1"/>
        <v>11585.2191</v>
      </c>
    </row>
    <row r="13" spans="1:14">
      <c r="A13" s="2" t="s">
        <v>8</v>
      </c>
      <c r="B13" s="2" t="s">
        <v>9</v>
      </c>
      <c r="C13" s="2">
        <v>19</v>
      </c>
      <c r="D13" s="2"/>
      <c r="E13" s="2">
        <v>935.9</v>
      </c>
      <c r="F13" s="2"/>
      <c r="G13" s="2">
        <v>935.9</v>
      </c>
      <c r="H13" s="2"/>
      <c r="I13" s="2">
        <v>19.5</v>
      </c>
      <c r="J13" s="5">
        <f t="shared" si="0"/>
        <v>18250.05</v>
      </c>
      <c r="K13" s="5"/>
      <c r="L13" s="2">
        <v>16.77</v>
      </c>
      <c r="M13" s="2">
        <f t="shared" si="1"/>
        <v>15695.043</v>
      </c>
    </row>
    <row r="14" spans="1:14">
      <c r="A14" s="2" t="s">
        <v>8</v>
      </c>
      <c r="B14" s="2" t="s">
        <v>10</v>
      </c>
      <c r="C14" s="2">
        <v>19</v>
      </c>
      <c r="D14" s="2"/>
      <c r="E14" s="2">
        <v>846.9</v>
      </c>
      <c r="F14" s="2"/>
      <c r="G14" s="2">
        <v>846.9</v>
      </c>
      <c r="H14" s="2"/>
      <c r="I14" s="2">
        <v>19.5</v>
      </c>
      <c r="J14" s="5">
        <f t="shared" si="0"/>
        <v>16514.55</v>
      </c>
      <c r="K14" s="5"/>
      <c r="L14" s="2">
        <v>16.77</v>
      </c>
      <c r="M14" s="2">
        <f t="shared" si="1"/>
        <v>14202.512999999999</v>
      </c>
    </row>
    <row r="15" spans="1:14">
      <c r="A15" s="2" t="s">
        <v>8</v>
      </c>
      <c r="B15" s="2" t="s">
        <v>11</v>
      </c>
      <c r="C15" s="2">
        <v>18</v>
      </c>
      <c r="D15" s="2"/>
      <c r="E15" s="2">
        <v>899.7</v>
      </c>
      <c r="F15" s="2"/>
      <c r="G15" s="2">
        <v>899.7</v>
      </c>
      <c r="H15" s="2"/>
      <c r="I15" s="2">
        <v>19.5</v>
      </c>
      <c r="J15" s="5">
        <f t="shared" si="0"/>
        <v>17544.150000000001</v>
      </c>
      <c r="K15" s="5"/>
      <c r="L15" s="2">
        <v>16.77</v>
      </c>
      <c r="M15" s="2">
        <f t="shared" si="1"/>
        <v>15087.969000000001</v>
      </c>
    </row>
    <row r="16" spans="1:14">
      <c r="A16" s="2" t="s">
        <v>8</v>
      </c>
      <c r="B16" s="2" t="s">
        <v>12</v>
      </c>
      <c r="C16" s="2">
        <v>17</v>
      </c>
      <c r="D16" s="2"/>
      <c r="E16" s="2">
        <v>911.2</v>
      </c>
      <c r="F16" s="2"/>
      <c r="G16" s="2">
        <v>911.2</v>
      </c>
      <c r="H16" s="2"/>
      <c r="I16" s="2">
        <v>19.5</v>
      </c>
      <c r="J16" s="5">
        <f t="shared" si="0"/>
        <v>17768.400000000001</v>
      </c>
      <c r="K16" s="5"/>
      <c r="L16" s="2">
        <v>16.77</v>
      </c>
      <c r="M16" s="2">
        <f t="shared" si="1"/>
        <v>15280.824000000001</v>
      </c>
    </row>
    <row r="17" spans="1:14">
      <c r="A17" s="2" t="s">
        <v>13</v>
      </c>
      <c r="B17" s="2">
        <v>15</v>
      </c>
      <c r="C17" s="2">
        <v>60</v>
      </c>
      <c r="D17" s="2"/>
      <c r="E17" s="2">
        <v>2600</v>
      </c>
      <c r="F17" s="2">
        <v>2600</v>
      </c>
      <c r="G17" s="2"/>
      <c r="H17" s="2"/>
      <c r="I17" s="2">
        <v>21.8</v>
      </c>
      <c r="J17" s="5">
        <f t="shared" si="0"/>
        <v>56680</v>
      </c>
      <c r="K17" s="5"/>
      <c r="L17" s="2">
        <v>17.57</v>
      </c>
      <c r="M17" s="2">
        <f t="shared" si="1"/>
        <v>45682</v>
      </c>
    </row>
    <row r="18" spans="1:14">
      <c r="A18" s="2" t="s">
        <v>14</v>
      </c>
      <c r="B18" s="2" t="s">
        <v>15</v>
      </c>
      <c r="C18" s="2">
        <v>4</v>
      </c>
      <c r="D18" s="2"/>
      <c r="E18" s="2">
        <v>261.8</v>
      </c>
      <c r="F18" s="2"/>
      <c r="G18" s="2">
        <v>261.8</v>
      </c>
      <c r="H18" s="2"/>
      <c r="I18" s="2">
        <v>19.5</v>
      </c>
      <c r="J18" s="5">
        <f t="shared" si="0"/>
        <v>5105.1000000000004</v>
      </c>
      <c r="K18" s="5"/>
      <c r="L18" s="2">
        <v>15.66</v>
      </c>
      <c r="M18" s="2">
        <f t="shared" si="1"/>
        <v>4099.7880000000005</v>
      </c>
    </row>
    <row r="19" spans="1:14">
      <c r="A19" s="2" t="s">
        <v>16</v>
      </c>
      <c r="B19" s="2" t="s">
        <v>6</v>
      </c>
      <c r="C19" s="2">
        <v>60</v>
      </c>
      <c r="D19" s="2"/>
      <c r="E19" s="2">
        <v>2582.5</v>
      </c>
      <c r="F19" s="2">
        <v>2582.5</v>
      </c>
      <c r="G19" s="2"/>
      <c r="H19" s="2"/>
      <c r="I19" s="2">
        <v>21.8</v>
      </c>
      <c r="J19" s="5">
        <f t="shared" si="0"/>
        <v>56298.5</v>
      </c>
      <c r="K19" s="5">
        <v>15.97</v>
      </c>
      <c r="L19" s="2">
        <v>17.57</v>
      </c>
      <c r="M19" s="2">
        <f t="shared" si="1"/>
        <v>45374.525000000001</v>
      </c>
      <c r="N19">
        <f>I19/K19</f>
        <v>1.3650594865372574</v>
      </c>
    </row>
    <row r="20" spans="1:14">
      <c r="A20" s="2" t="s">
        <v>16</v>
      </c>
      <c r="B20" s="2" t="s">
        <v>9</v>
      </c>
      <c r="C20" s="2">
        <v>60</v>
      </c>
      <c r="D20" s="2"/>
      <c r="E20" s="2">
        <v>2596</v>
      </c>
      <c r="F20" s="2">
        <v>2596</v>
      </c>
      <c r="G20" s="2"/>
      <c r="H20" s="2"/>
      <c r="I20" s="2">
        <v>21.8</v>
      </c>
      <c r="J20" s="5">
        <f t="shared" si="0"/>
        <v>56592.800000000003</v>
      </c>
      <c r="K20" s="5"/>
      <c r="L20" s="2">
        <v>17.57</v>
      </c>
      <c r="M20" s="2">
        <f t="shared" si="1"/>
        <v>45611.72</v>
      </c>
    </row>
    <row r="21" spans="1:14">
      <c r="A21" s="2" t="s">
        <v>17</v>
      </c>
      <c r="B21" s="2" t="s">
        <v>6</v>
      </c>
      <c r="C21" s="2">
        <v>4</v>
      </c>
      <c r="D21" s="2"/>
      <c r="E21" s="2">
        <v>222.4</v>
      </c>
      <c r="F21" s="2"/>
      <c r="G21" s="2"/>
      <c r="H21" s="2">
        <v>222.4</v>
      </c>
      <c r="I21" s="2">
        <v>32.58</v>
      </c>
      <c r="J21" s="5">
        <f t="shared" si="0"/>
        <v>7245.7919999999995</v>
      </c>
      <c r="K21" s="5"/>
      <c r="L21" s="2">
        <v>30.52</v>
      </c>
      <c r="M21" s="2">
        <f t="shared" si="1"/>
        <v>6787.6480000000001</v>
      </c>
    </row>
    <row r="22" spans="1:14">
      <c r="A22" s="2" t="s">
        <v>17</v>
      </c>
      <c r="B22" s="2">
        <v>4</v>
      </c>
      <c r="C22" s="2">
        <v>4</v>
      </c>
      <c r="D22" s="2"/>
      <c r="E22" s="2">
        <v>208.8</v>
      </c>
      <c r="F22" s="2"/>
      <c r="G22" s="2">
        <v>208.8</v>
      </c>
      <c r="H22" s="2"/>
      <c r="I22" s="2">
        <v>19.5</v>
      </c>
      <c r="J22" s="5">
        <f t="shared" si="0"/>
        <v>4071.6000000000004</v>
      </c>
      <c r="K22" s="5"/>
      <c r="L22" s="2">
        <v>16.77</v>
      </c>
      <c r="M22" s="2">
        <f t="shared" si="1"/>
        <v>3501.576</v>
      </c>
    </row>
    <row r="23" spans="1:14">
      <c r="A23" s="2" t="s">
        <v>17</v>
      </c>
      <c r="B23" s="2">
        <v>6</v>
      </c>
      <c r="C23" s="2">
        <v>8</v>
      </c>
      <c r="D23" s="2"/>
      <c r="E23" s="2">
        <v>355.4</v>
      </c>
      <c r="F23" s="2"/>
      <c r="G23" s="2"/>
      <c r="H23" s="2">
        <v>355.4</v>
      </c>
      <c r="I23" s="2">
        <v>32.58</v>
      </c>
      <c r="J23" s="5">
        <f t="shared" si="0"/>
        <v>11578.931999999999</v>
      </c>
      <c r="K23" s="5"/>
      <c r="L23" s="2">
        <v>26.23</v>
      </c>
      <c r="M23" s="2">
        <f t="shared" si="1"/>
        <v>9322.1419999999998</v>
      </c>
    </row>
    <row r="24" spans="1:14">
      <c r="A24" s="2" t="s">
        <v>17</v>
      </c>
      <c r="B24" s="2">
        <v>14</v>
      </c>
      <c r="C24" s="2">
        <v>18</v>
      </c>
      <c r="D24" s="2"/>
      <c r="E24" s="2">
        <v>719.52</v>
      </c>
      <c r="F24" s="2"/>
      <c r="G24" s="2"/>
      <c r="H24" s="2">
        <v>719.52</v>
      </c>
      <c r="I24" s="2">
        <v>32.58</v>
      </c>
      <c r="J24" s="5">
        <f t="shared" si="0"/>
        <v>23441.961599999999</v>
      </c>
      <c r="K24" s="5"/>
      <c r="L24" s="2">
        <v>30.52</v>
      </c>
      <c r="M24" s="2">
        <f t="shared" si="1"/>
        <v>21959.750400000001</v>
      </c>
    </row>
    <row r="25" spans="1:14">
      <c r="A25" s="2" t="s">
        <v>17</v>
      </c>
      <c r="B25" s="2">
        <v>16</v>
      </c>
      <c r="C25" s="2">
        <v>16</v>
      </c>
      <c r="D25" s="2"/>
      <c r="E25" s="2">
        <v>728.2</v>
      </c>
      <c r="F25" s="2"/>
      <c r="G25" s="2"/>
      <c r="H25" s="2">
        <v>728.2</v>
      </c>
      <c r="I25" s="2">
        <v>32.58</v>
      </c>
      <c r="J25" s="5">
        <f t="shared" si="0"/>
        <v>23724.756000000001</v>
      </c>
      <c r="K25" s="5"/>
      <c r="L25" s="2">
        <v>30.52</v>
      </c>
      <c r="M25" s="2">
        <f t="shared" si="1"/>
        <v>22224.664000000001</v>
      </c>
    </row>
    <row r="26" spans="1:14">
      <c r="A26" s="2" t="s">
        <v>17</v>
      </c>
      <c r="B26" s="2">
        <v>18</v>
      </c>
      <c r="C26" s="2">
        <v>16</v>
      </c>
      <c r="D26" s="2"/>
      <c r="E26" s="2">
        <v>738.6</v>
      </c>
      <c r="F26" s="2"/>
      <c r="G26" s="2"/>
      <c r="H26" s="2">
        <v>738.6</v>
      </c>
      <c r="I26" s="2">
        <v>32.58</v>
      </c>
      <c r="J26" s="5">
        <f t="shared" si="0"/>
        <v>24063.588</v>
      </c>
      <c r="K26" s="5"/>
      <c r="L26" s="2">
        <v>30.52</v>
      </c>
      <c r="M26" s="2">
        <f t="shared" si="1"/>
        <v>22542.072</v>
      </c>
    </row>
    <row r="27" spans="1:14">
      <c r="A27" s="2" t="s">
        <v>17</v>
      </c>
      <c r="B27" s="2">
        <v>20</v>
      </c>
      <c r="C27" s="2">
        <v>17</v>
      </c>
      <c r="D27" s="2"/>
      <c r="E27" s="2">
        <v>721.8</v>
      </c>
      <c r="F27" s="2"/>
      <c r="G27" s="2"/>
      <c r="H27" s="2">
        <v>721.8</v>
      </c>
      <c r="I27" s="2">
        <v>32.58</v>
      </c>
      <c r="J27" s="5">
        <f t="shared" si="0"/>
        <v>23516.243999999999</v>
      </c>
      <c r="K27" s="5"/>
      <c r="L27" s="2">
        <v>30.52</v>
      </c>
      <c r="M27" s="2">
        <f t="shared" si="1"/>
        <v>22029.335999999999</v>
      </c>
    </row>
    <row r="28" spans="1:14">
      <c r="A28" s="2" t="s">
        <v>17</v>
      </c>
      <c r="B28" s="2" t="s">
        <v>18</v>
      </c>
      <c r="C28" s="2">
        <v>16</v>
      </c>
      <c r="D28" s="2"/>
      <c r="E28" s="2">
        <v>783.1</v>
      </c>
      <c r="F28" s="2"/>
      <c r="G28" s="2"/>
      <c r="H28" s="2">
        <v>783.1</v>
      </c>
      <c r="I28" s="2">
        <v>32.58</v>
      </c>
      <c r="J28" s="5">
        <f t="shared" si="0"/>
        <v>25513.398000000001</v>
      </c>
      <c r="K28" s="5"/>
      <c r="L28" s="2">
        <v>26.23</v>
      </c>
      <c r="M28" s="2">
        <f t="shared" si="1"/>
        <v>20540.713</v>
      </c>
    </row>
    <row r="29" spans="1:14">
      <c r="A29" s="2" t="s">
        <v>19</v>
      </c>
      <c r="B29" s="2">
        <v>2</v>
      </c>
      <c r="C29" s="2">
        <v>4</v>
      </c>
      <c r="D29" s="2"/>
      <c r="E29" s="2">
        <v>222.1</v>
      </c>
      <c r="F29" s="2"/>
      <c r="G29" s="2"/>
      <c r="H29" s="2">
        <v>222.1</v>
      </c>
      <c r="I29" s="2">
        <v>32.58</v>
      </c>
      <c r="J29" s="5">
        <f t="shared" si="0"/>
        <v>7236.0179999999991</v>
      </c>
      <c r="K29" s="5"/>
      <c r="L29" s="2">
        <v>16.77</v>
      </c>
      <c r="M29" s="2">
        <f t="shared" si="1"/>
        <v>3724.6169999999997</v>
      </c>
    </row>
    <row r="30" spans="1:14">
      <c r="A30" s="2" t="s">
        <v>19</v>
      </c>
      <c r="B30" s="2" t="s">
        <v>6</v>
      </c>
      <c r="C30" s="2">
        <v>120</v>
      </c>
      <c r="D30" s="2"/>
      <c r="E30" s="2">
        <v>5120.2</v>
      </c>
      <c r="F30" s="2">
        <v>5120.2</v>
      </c>
      <c r="G30" s="2"/>
      <c r="H30" s="2"/>
      <c r="I30" s="2">
        <v>21.8</v>
      </c>
      <c r="J30" s="5">
        <f t="shared" si="0"/>
        <v>111620.36</v>
      </c>
      <c r="K30" s="5"/>
      <c r="L30" s="2">
        <v>17.57</v>
      </c>
      <c r="M30" s="2">
        <f t="shared" si="1"/>
        <v>89961.914000000004</v>
      </c>
    </row>
    <row r="31" spans="1:14">
      <c r="A31" s="2" t="s">
        <v>19</v>
      </c>
      <c r="B31" s="2" t="s">
        <v>9</v>
      </c>
      <c r="C31" s="2">
        <v>59</v>
      </c>
      <c r="D31" s="2"/>
      <c r="E31" s="2">
        <v>2514.5</v>
      </c>
      <c r="F31" s="2">
        <v>2514.5</v>
      </c>
      <c r="G31" s="2"/>
      <c r="H31" s="2"/>
      <c r="I31" s="2">
        <v>21.8</v>
      </c>
      <c r="J31" s="5">
        <f t="shared" si="0"/>
        <v>54816.1</v>
      </c>
      <c r="K31" s="5"/>
      <c r="L31" s="2">
        <v>17.57</v>
      </c>
      <c r="M31" s="2">
        <f t="shared" si="1"/>
        <v>44179.764999999999</v>
      </c>
    </row>
    <row r="32" spans="1:14">
      <c r="A32" s="2" t="s">
        <v>19</v>
      </c>
      <c r="B32" s="2" t="s">
        <v>11</v>
      </c>
      <c r="C32" s="2">
        <v>60</v>
      </c>
      <c r="D32" s="2"/>
      <c r="E32" s="2">
        <v>2564.1999999999998</v>
      </c>
      <c r="F32" s="2">
        <v>2564.1999999999998</v>
      </c>
      <c r="G32" s="2"/>
      <c r="H32" s="2"/>
      <c r="I32" s="2">
        <v>21.8</v>
      </c>
      <c r="J32" s="5">
        <f t="shared" si="0"/>
        <v>55899.56</v>
      </c>
      <c r="K32" s="5"/>
      <c r="L32" s="2">
        <v>17.57</v>
      </c>
      <c r="M32" s="2">
        <f t="shared" si="1"/>
        <v>45052.993999999999</v>
      </c>
    </row>
    <row r="33" spans="1:17">
      <c r="A33" s="2" t="s">
        <v>19</v>
      </c>
      <c r="B33" s="2" t="s">
        <v>7</v>
      </c>
      <c r="C33" s="2">
        <v>62</v>
      </c>
      <c r="D33" s="2"/>
      <c r="E33" s="2">
        <v>2637.5</v>
      </c>
      <c r="F33" s="2">
        <v>2637.5</v>
      </c>
      <c r="G33" s="2"/>
      <c r="H33" s="2"/>
      <c r="I33" s="2">
        <v>21.8</v>
      </c>
      <c r="J33" s="5">
        <f t="shared" si="0"/>
        <v>57497.5</v>
      </c>
      <c r="K33" s="5"/>
      <c r="L33" s="2">
        <v>17.57</v>
      </c>
      <c r="M33" s="2">
        <f t="shared" si="1"/>
        <v>46340.875</v>
      </c>
    </row>
    <row r="34" spans="1:17">
      <c r="A34" s="2" t="s">
        <v>19</v>
      </c>
      <c r="B34" s="2" t="s">
        <v>20</v>
      </c>
      <c r="C34" s="2">
        <v>114</v>
      </c>
      <c r="D34" s="2"/>
      <c r="E34" s="2">
        <v>2334.8000000000002</v>
      </c>
      <c r="F34" s="2">
        <v>2334.8000000000002</v>
      </c>
      <c r="G34" s="2"/>
      <c r="H34" s="2"/>
      <c r="I34" s="2">
        <v>21.8</v>
      </c>
      <c r="J34" s="5">
        <f t="shared" si="0"/>
        <v>50898.640000000007</v>
      </c>
      <c r="K34" s="5"/>
      <c r="L34" s="2">
        <v>17.57</v>
      </c>
      <c r="M34" s="2">
        <f t="shared" si="1"/>
        <v>41022.436000000002</v>
      </c>
      <c r="N34">
        <v>32.58</v>
      </c>
      <c r="O34">
        <f>N34*E34</f>
        <v>76067.784</v>
      </c>
    </row>
    <row r="35" spans="1:17">
      <c r="A35" s="2" t="s">
        <v>19</v>
      </c>
      <c r="B35" s="2" t="s">
        <v>21</v>
      </c>
      <c r="C35" s="2">
        <v>122</v>
      </c>
      <c r="D35" s="2"/>
      <c r="E35" s="2">
        <v>2348.9</v>
      </c>
      <c r="F35" s="2">
        <v>2348.9</v>
      </c>
      <c r="G35" s="2"/>
      <c r="H35" s="2"/>
      <c r="I35" s="2">
        <v>21.8</v>
      </c>
      <c r="J35" s="5">
        <f t="shared" si="0"/>
        <v>51206.020000000004</v>
      </c>
      <c r="K35" s="5"/>
      <c r="L35" s="2">
        <v>17.57</v>
      </c>
      <c r="M35" s="2">
        <f t="shared" si="1"/>
        <v>41270.173000000003</v>
      </c>
      <c r="N35">
        <v>32.58</v>
      </c>
      <c r="O35">
        <f>N35*E35</f>
        <v>76527.161999999997</v>
      </c>
    </row>
    <row r="36" spans="1:17">
      <c r="A36" s="2" t="s">
        <v>19</v>
      </c>
      <c r="B36" s="2" t="s">
        <v>3</v>
      </c>
      <c r="C36" s="2">
        <v>60</v>
      </c>
      <c r="D36" s="2"/>
      <c r="E36" s="2">
        <v>3230.36</v>
      </c>
      <c r="F36" s="2">
        <v>3230.36</v>
      </c>
      <c r="G36" s="2"/>
      <c r="H36" s="2"/>
      <c r="I36" s="2">
        <v>21.8</v>
      </c>
      <c r="J36" s="5">
        <f t="shared" si="0"/>
        <v>70421.847999999998</v>
      </c>
      <c r="K36" s="5"/>
      <c r="L36" s="2">
        <v>17.57</v>
      </c>
      <c r="M36" s="2">
        <f t="shared" si="1"/>
        <v>56757.425200000005</v>
      </c>
    </row>
    <row r="37" spans="1:17">
      <c r="A37" s="2" t="s">
        <v>19</v>
      </c>
      <c r="B37" s="2" t="s">
        <v>22</v>
      </c>
      <c r="C37" s="2">
        <v>70</v>
      </c>
      <c r="D37" s="2"/>
      <c r="E37" s="2">
        <v>2360.1</v>
      </c>
      <c r="F37" s="2">
        <v>2360.1</v>
      </c>
      <c r="G37" s="2"/>
      <c r="H37" s="2"/>
      <c r="I37" s="2">
        <v>21.8</v>
      </c>
      <c r="J37" s="5">
        <f t="shared" si="0"/>
        <v>51450.18</v>
      </c>
      <c r="K37" s="5"/>
      <c r="L37" s="2">
        <v>17.57</v>
      </c>
      <c r="M37" s="2">
        <f t="shared" si="1"/>
        <v>41466.957000000002</v>
      </c>
    </row>
    <row r="38" spans="1:17">
      <c r="A38" s="2" t="s">
        <v>23</v>
      </c>
      <c r="B38" s="2" t="s">
        <v>24</v>
      </c>
      <c r="C38" s="2">
        <v>24</v>
      </c>
      <c r="D38" s="2"/>
      <c r="E38" s="2">
        <v>1236.4000000000001</v>
      </c>
      <c r="F38" s="2"/>
      <c r="G38" s="2"/>
      <c r="H38" s="2">
        <v>1236.4000000000001</v>
      </c>
      <c r="I38" s="5">
        <v>32.58</v>
      </c>
      <c r="J38" s="5">
        <f t="shared" si="0"/>
        <v>40281.912000000004</v>
      </c>
      <c r="K38" s="5"/>
      <c r="L38" s="2">
        <v>30.52</v>
      </c>
      <c r="M38" s="2">
        <f t="shared" si="1"/>
        <v>37734.928</v>
      </c>
    </row>
    <row r="39" spans="1:17">
      <c r="A39" s="3" t="s">
        <v>33</v>
      </c>
      <c r="B39" s="3"/>
      <c r="C39" s="3">
        <v>1902</v>
      </c>
      <c r="D39" s="3"/>
      <c r="E39" s="3">
        <f>SUM(E5:E38)</f>
        <v>48190.810000000005</v>
      </c>
      <c r="F39" s="3">
        <f>SUM(F5:F38)</f>
        <v>30889.06</v>
      </c>
      <c r="G39" s="3">
        <f>SUM(G5:G38)</f>
        <v>9956.0299999999988</v>
      </c>
      <c r="H39" s="3">
        <f>SUM(H5:H38)</f>
        <v>7345.7200000000012</v>
      </c>
      <c r="I39" s="2"/>
      <c r="J39" s="5">
        <f>SUM(J5:J38)</f>
        <v>1106847.6506000001</v>
      </c>
      <c r="K39" s="5"/>
      <c r="L39" s="2"/>
      <c r="M39" s="2">
        <f>SUM(M5:M38)</f>
        <v>925646.14370000002</v>
      </c>
      <c r="O39">
        <f>SUM(O34:O38)</f>
        <v>152594.946</v>
      </c>
      <c r="Q39">
        <f>M39+O39</f>
        <v>1078241.0896999999</v>
      </c>
    </row>
    <row r="40" spans="1:17">
      <c r="F40">
        <f>F39*18.85*12/1000</f>
        <v>6987.1053720000018</v>
      </c>
      <c r="G40">
        <f>G39*17.83*12/1000</f>
        <v>2130.1921787999995</v>
      </c>
      <c r="H40">
        <f>H39*30.24*12/1000</f>
        <v>2665.6148736000005</v>
      </c>
      <c r="J40">
        <v>1187421.55</v>
      </c>
    </row>
    <row r="41" spans="1:17">
      <c r="H41">
        <f>F40+G40+H40</f>
        <v>11782.912424400001</v>
      </c>
      <c r="J41" s="4">
        <f>J39-J40</f>
        <v>-80573.899399999995</v>
      </c>
      <c r="K41" s="4"/>
    </row>
    <row r="42" spans="1:17">
      <c r="J42">
        <f>J39*12</f>
        <v>13282171.8072</v>
      </c>
    </row>
    <row r="43" spans="1:17">
      <c r="A43" t="s">
        <v>34</v>
      </c>
      <c r="C43">
        <f>F39</f>
        <v>30889.06</v>
      </c>
      <c r="J43">
        <v>1053641</v>
      </c>
    </row>
    <row r="44" spans="1:17">
      <c r="A44" t="s">
        <v>35</v>
      </c>
      <c r="C44">
        <f>G39</f>
        <v>9956.0299999999988</v>
      </c>
      <c r="J44">
        <v>13275885</v>
      </c>
    </row>
    <row r="45" spans="1:17">
      <c r="A45" t="s">
        <v>36</v>
      </c>
      <c r="C45">
        <f>H39</f>
        <v>7345.7200000000012</v>
      </c>
      <c r="J45">
        <f>J42-J44</f>
        <v>6286.8071999996901</v>
      </c>
    </row>
    <row r="46" spans="1:17">
      <c r="A46" t="s">
        <v>46</v>
      </c>
      <c r="C46">
        <v>783.1</v>
      </c>
    </row>
    <row r="48" spans="1:17">
      <c r="A48" t="s">
        <v>40</v>
      </c>
      <c r="C48">
        <f>C43+E38</f>
        <v>32125.460000000003</v>
      </c>
    </row>
    <row r="51" spans="1:10">
      <c r="A51" t="s">
        <v>41</v>
      </c>
      <c r="C51">
        <v>8477.7000000000007</v>
      </c>
      <c r="H51">
        <v>92</v>
      </c>
      <c r="I51">
        <f>(15383.4/12-209.8)/(48190.81+962.3)*1000</f>
        <v>21.812455000304155</v>
      </c>
    </row>
    <row r="52" spans="1:10">
      <c r="A52" t="s">
        <v>42</v>
      </c>
      <c r="C52">
        <f>658.84-52.9</f>
        <v>605.94000000000005</v>
      </c>
      <c r="E52">
        <f>C52/C45/7*1000</f>
        <v>11.784121521492398</v>
      </c>
      <c r="G52">
        <f>C52*1.18</f>
        <v>715.00920000000008</v>
      </c>
      <c r="H52">
        <f>G52/7</f>
        <v>102.14417142857144</v>
      </c>
    </row>
    <row r="53" spans="1:10">
      <c r="A53" t="s">
        <v>45</v>
      </c>
      <c r="C53">
        <v>52.9</v>
      </c>
      <c r="E53">
        <f>C53*1000/C46/7</f>
        <v>9.6502909681303244</v>
      </c>
      <c r="G53">
        <f>C53*1.18</f>
        <v>62.421999999999997</v>
      </c>
      <c r="H53">
        <f>G53/7</f>
        <v>8.9174285714285713</v>
      </c>
    </row>
    <row r="54" spans="1:10">
      <c r="A54" t="s">
        <v>43</v>
      </c>
      <c r="C54">
        <f>(409.8+145.2)+14*7</f>
        <v>653</v>
      </c>
      <c r="E54">
        <f>C54*1000/E39/7</f>
        <v>1.93575734223422</v>
      </c>
      <c r="H54">
        <f>0.25*7.8*1.12*1.342</f>
        <v>2.9309280000000002</v>
      </c>
    </row>
    <row r="55" spans="1:10">
      <c r="A55" t="s">
        <v>47</v>
      </c>
      <c r="C55">
        <v>759.11</v>
      </c>
      <c r="E55">
        <f>C55*1000/C48/7</f>
        <v>3.3756492736379715</v>
      </c>
      <c r="G55">
        <f>10*7.8*1.12*1.342</f>
        <v>117.23712000000002</v>
      </c>
      <c r="H55">
        <f>G55*1000/C43</f>
        <v>3.7954253059173708</v>
      </c>
    </row>
    <row r="56" spans="1:10">
      <c r="H56">
        <f>SUM(H51:H55)</f>
        <v>209.78795330591737</v>
      </c>
    </row>
    <row r="57" spans="1:10" ht="53.25" customHeight="1">
      <c r="C57" s="53" t="s">
        <v>123</v>
      </c>
      <c r="D57" s="53"/>
      <c r="E57" s="53"/>
    </row>
    <row r="58" spans="1:10" ht="53.25" customHeight="1">
      <c r="A58" s="39"/>
      <c r="B58" s="54" t="s">
        <v>158</v>
      </c>
      <c r="C58" s="54"/>
      <c r="D58" s="54"/>
      <c r="E58" s="54"/>
    </row>
    <row r="59" spans="1:10" ht="53.25" customHeight="1">
      <c r="A59" s="55" t="s">
        <v>145</v>
      </c>
      <c r="B59" s="55"/>
      <c r="C59" s="55"/>
      <c r="D59" s="55"/>
      <c r="E59" s="55"/>
    </row>
    <row r="60" spans="1:10" ht="97.5" customHeight="1">
      <c r="A60" s="40" t="s">
        <v>141</v>
      </c>
      <c r="B60" s="41" t="s">
        <v>142</v>
      </c>
      <c r="C60" s="40" t="s">
        <v>170</v>
      </c>
      <c r="D60" s="40" t="s">
        <v>171</v>
      </c>
      <c r="E60" s="40" t="s">
        <v>144</v>
      </c>
    </row>
    <row r="61" spans="1:10" ht="15.75">
      <c r="A61" s="74" t="s">
        <v>50</v>
      </c>
      <c r="B61" s="42" t="s">
        <v>165</v>
      </c>
      <c r="C61" s="42">
        <f>C65-C64-C63-C62</f>
        <v>48346.729999999996</v>
      </c>
      <c r="D61" s="42">
        <f>ROUND(C61/222.1/12,2)</f>
        <v>18.14</v>
      </c>
      <c r="E61" s="43">
        <v>14.78</v>
      </c>
      <c r="F61" s="4"/>
      <c r="J61" t="s">
        <v>120</v>
      </c>
    </row>
    <row r="62" spans="1:10" ht="15.75">
      <c r="A62" s="75"/>
      <c r="B62" s="42" t="s">
        <v>172</v>
      </c>
      <c r="C62" s="42">
        <v>7302.65</v>
      </c>
      <c r="D62" s="42">
        <v>2.74</v>
      </c>
      <c r="E62" s="44">
        <v>2.74</v>
      </c>
      <c r="F62" s="4"/>
      <c r="G62">
        <v>1.94</v>
      </c>
      <c r="I62">
        <v>18.850000000000001</v>
      </c>
    </row>
    <row r="63" spans="1:10" ht="15.75">
      <c r="A63" s="75"/>
      <c r="B63" s="42" t="s">
        <v>173</v>
      </c>
      <c r="C63" s="42">
        <f>ROUND(12.41*222.1*12,2)</f>
        <v>33075.129999999997</v>
      </c>
      <c r="D63" s="42">
        <v>12.41</v>
      </c>
      <c r="E63" s="43">
        <v>12.41</v>
      </c>
      <c r="F63" s="4"/>
      <c r="G63">
        <v>11.78</v>
      </c>
    </row>
    <row r="64" spans="1:10" ht="15.75">
      <c r="A64" s="75"/>
      <c r="B64" s="42" t="s">
        <v>174</v>
      </c>
      <c r="C64" s="42">
        <f>ROUND(0.31*222.1*12,2)</f>
        <v>826.21</v>
      </c>
      <c r="D64" s="42">
        <v>0.31</v>
      </c>
      <c r="E64" s="43">
        <v>0.31</v>
      </c>
      <c r="F64" s="4"/>
    </row>
    <row r="65" spans="1:7" ht="15.75">
      <c r="A65" s="76"/>
      <c r="B65" s="42"/>
      <c r="C65" s="45">
        <v>89550.720000000001</v>
      </c>
      <c r="D65" s="45">
        <f>D64+D63+D62+D61</f>
        <v>33.6</v>
      </c>
      <c r="E65" s="46">
        <v>30.24</v>
      </c>
      <c r="F65" s="4">
        <f>E65/C65</f>
        <v>3.3768572714993245E-4</v>
      </c>
      <c r="G65">
        <f>D65/C65</f>
        <v>3.7520636349992498E-4</v>
      </c>
    </row>
    <row r="66" spans="1:7" ht="15.75">
      <c r="A66" s="39"/>
      <c r="B66" s="39"/>
      <c r="C66" s="39"/>
      <c r="D66" s="39"/>
      <c r="E66" s="39"/>
    </row>
    <row r="67" spans="1:7" ht="15.75">
      <c r="A67" s="59" t="s">
        <v>125</v>
      </c>
      <c r="B67" s="59"/>
      <c r="C67" s="59"/>
      <c r="D67" s="59"/>
      <c r="E67" s="59"/>
      <c r="G67">
        <v>1053640</v>
      </c>
    </row>
    <row r="68" spans="1:7" ht="22.5" customHeight="1">
      <c r="A68" s="50" t="s">
        <v>159</v>
      </c>
      <c r="B68" s="50"/>
      <c r="C68" s="50"/>
      <c r="D68" s="50"/>
      <c r="E68" s="50"/>
    </row>
    <row r="69" spans="1:7" ht="15.75">
      <c r="A69" s="50" t="s">
        <v>160</v>
      </c>
      <c r="B69" s="50"/>
      <c r="C69" s="50"/>
      <c r="D69" s="50"/>
      <c r="E69" s="50"/>
    </row>
    <row r="70" spans="1:7" ht="15.75">
      <c r="A70" s="50" t="s">
        <v>161</v>
      </c>
      <c r="B70" s="50"/>
      <c r="C70" s="50"/>
      <c r="D70" s="50"/>
      <c r="E70" s="50"/>
    </row>
    <row r="71" spans="1:7" ht="15.75">
      <c r="A71" s="50" t="s">
        <v>162</v>
      </c>
      <c r="B71" s="50"/>
      <c r="C71" s="50"/>
      <c r="D71" s="50"/>
      <c r="E71" s="50"/>
    </row>
    <row r="72" spans="1:7" ht="25.5" customHeight="1">
      <c r="A72" s="50" t="s">
        <v>163</v>
      </c>
      <c r="B72" s="50"/>
      <c r="C72" s="50"/>
      <c r="D72" s="50"/>
      <c r="E72" s="50"/>
    </row>
    <row r="73" spans="1:7" ht="15.75">
      <c r="A73" s="50" t="s">
        <v>164</v>
      </c>
      <c r="B73" s="50"/>
      <c r="C73" s="50"/>
      <c r="D73" s="50"/>
      <c r="E73" s="50"/>
    </row>
    <row r="74" spans="1:7" ht="15.75">
      <c r="A74" s="50" t="s">
        <v>166</v>
      </c>
      <c r="B74" s="50"/>
      <c r="C74" s="50"/>
      <c r="D74" s="50"/>
      <c r="E74" s="50"/>
    </row>
    <row r="75" spans="1:7" ht="32.25" customHeight="1">
      <c r="A75" s="50" t="s">
        <v>167</v>
      </c>
      <c r="B75" s="50"/>
      <c r="C75" s="50"/>
      <c r="D75" s="50"/>
      <c r="E75" s="50"/>
    </row>
    <row r="76" spans="1:7" ht="33" customHeight="1">
      <c r="A76" s="50" t="s">
        <v>168</v>
      </c>
      <c r="B76" s="50"/>
      <c r="C76" s="50"/>
      <c r="D76" s="50"/>
      <c r="E76" s="50"/>
    </row>
    <row r="77" spans="1:7" ht="15.75">
      <c r="A77" s="47"/>
      <c r="B77" s="47"/>
      <c r="C77" s="47"/>
      <c r="D77" s="47"/>
      <c r="E77" s="47"/>
    </row>
    <row r="78" spans="1:7" ht="15.75">
      <c r="A78" s="51" t="s">
        <v>169</v>
      </c>
      <c r="B78" s="51"/>
      <c r="C78" s="51"/>
      <c r="D78" s="51"/>
      <c r="E78" s="51"/>
    </row>
  </sheetData>
  <mergeCells count="21">
    <mergeCell ref="I3:I4"/>
    <mergeCell ref="J3:J4"/>
    <mergeCell ref="C57:E57"/>
    <mergeCell ref="A59:E59"/>
    <mergeCell ref="A61:A65"/>
    <mergeCell ref="A3:A4"/>
    <mergeCell ref="B3:B4"/>
    <mergeCell ref="C3:C4"/>
    <mergeCell ref="E3:G3"/>
    <mergeCell ref="A76:E76"/>
    <mergeCell ref="A78:E78"/>
    <mergeCell ref="B58:E58"/>
    <mergeCell ref="A71:E71"/>
    <mergeCell ref="A72:E72"/>
    <mergeCell ref="A73:E73"/>
    <mergeCell ref="A74:E74"/>
    <mergeCell ref="A75:E75"/>
    <mergeCell ref="A67:E67"/>
    <mergeCell ref="A68:E68"/>
    <mergeCell ref="A69:E69"/>
    <mergeCell ref="A70:E7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opLeftCell="A22" workbookViewId="0">
      <selection activeCell="A39" sqref="A39"/>
    </sheetView>
  </sheetViews>
  <sheetFormatPr defaultRowHeight="15"/>
  <cols>
    <col min="1" max="1" width="48.5703125" customWidth="1"/>
    <col min="2" max="2" width="10.85546875" customWidth="1"/>
    <col min="4" max="4" width="13.140625" customWidth="1"/>
    <col min="5" max="5" width="10.7109375" customWidth="1"/>
    <col min="6" max="6" width="11.42578125" customWidth="1"/>
    <col min="11" max="11" width="11" bestFit="1" customWidth="1"/>
  </cols>
  <sheetData>
    <row r="1" spans="1:9">
      <c r="B1" s="78" t="s">
        <v>107</v>
      </c>
      <c r="C1" s="78"/>
      <c r="D1" s="78"/>
    </row>
    <row r="2" spans="1:9">
      <c r="A2" s="79" t="s">
        <v>108</v>
      </c>
      <c r="B2" s="79"/>
      <c r="C2" s="79"/>
      <c r="D2" s="79"/>
    </row>
    <row r="3" spans="1:9">
      <c r="B3" s="77" t="s">
        <v>154</v>
      </c>
      <c r="C3" s="77"/>
      <c r="D3" s="77"/>
    </row>
    <row r="4" spans="1:9" ht="68.25" customHeight="1">
      <c r="A4" s="80" t="s">
        <v>155</v>
      </c>
      <c r="B4" s="80"/>
      <c r="C4" s="80"/>
      <c r="D4" s="80"/>
    </row>
    <row r="5" spans="1:9" ht="60">
      <c r="A5" s="10" t="s">
        <v>64</v>
      </c>
      <c r="B5" s="10" t="s">
        <v>65</v>
      </c>
      <c r="C5" s="10" t="s">
        <v>157</v>
      </c>
      <c r="D5" s="10" t="s">
        <v>156</v>
      </c>
      <c r="E5" s="31" t="s">
        <v>140</v>
      </c>
    </row>
    <row r="6" spans="1:9">
      <c r="A6" s="10">
        <v>1</v>
      </c>
      <c r="B6" s="10">
        <v>2</v>
      </c>
      <c r="C6" s="10">
        <v>3</v>
      </c>
      <c r="D6" s="10">
        <v>4</v>
      </c>
      <c r="E6" s="2"/>
    </row>
    <row r="7" spans="1:9">
      <c r="A7" s="7" t="s">
        <v>69</v>
      </c>
      <c r="B7" s="8"/>
      <c r="C7" s="8"/>
      <c r="D7" s="9"/>
      <c r="E7" s="2"/>
    </row>
    <row r="8" spans="1:9" ht="30">
      <c r="A8" s="11" t="s">
        <v>68</v>
      </c>
      <c r="B8" s="2">
        <v>100</v>
      </c>
      <c r="C8" s="2">
        <v>48176.3</v>
      </c>
      <c r="D8" s="2">
        <v>48176.3</v>
      </c>
      <c r="E8" s="2"/>
    </row>
    <row r="9" spans="1:9">
      <c r="A9" s="81" t="s">
        <v>70</v>
      </c>
      <c r="B9" s="81"/>
      <c r="C9" s="81"/>
      <c r="D9" s="81"/>
      <c r="E9" s="2"/>
    </row>
    <row r="10" spans="1:9" ht="19.5" customHeight="1">
      <c r="A10" s="11" t="s">
        <v>71</v>
      </c>
      <c r="B10" s="12">
        <v>300</v>
      </c>
      <c r="C10" s="14">
        <f>C11+C12+C13+C14</f>
        <v>920.6934</v>
      </c>
      <c r="D10" s="14">
        <f>D11+D12+D13+D14</f>
        <v>1383.9417920000001</v>
      </c>
      <c r="E10" s="5">
        <f>D10/D8*1000/12</f>
        <v>2.393884185100696</v>
      </c>
    </row>
    <row r="11" spans="1:9">
      <c r="A11" s="13" t="s">
        <v>72</v>
      </c>
      <c r="B11" s="12">
        <v>310</v>
      </c>
      <c r="C11" s="14">
        <f>5.3+6.9+4.9+574.6</f>
        <v>591.70000000000005</v>
      </c>
      <c r="D11" s="14">
        <f>C11/3*4*1.16</f>
        <v>915.16266666666672</v>
      </c>
      <c r="E11" s="5"/>
    </row>
    <row r="12" spans="1:9">
      <c r="A12" s="13" t="s">
        <v>73</v>
      </c>
      <c r="B12" s="12">
        <v>320</v>
      </c>
      <c r="C12" s="14">
        <f>C11*0.302</f>
        <v>178.6934</v>
      </c>
      <c r="D12" s="14">
        <f>D11*0.302</f>
        <v>276.37912533333332</v>
      </c>
      <c r="E12" s="5"/>
    </row>
    <row r="13" spans="1:9">
      <c r="A13" s="13" t="s">
        <v>74</v>
      </c>
      <c r="B13" s="12">
        <v>330</v>
      </c>
      <c r="C13" s="14">
        <v>60</v>
      </c>
      <c r="D13" s="2">
        <f>C13/3*4-8</f>
        <v>72</v>
      </c>
      <c r="E13" s="5"/>
    </row>
    <row r="14" spans="1:9">
      <c r="A14" s="13" t="s">
        <v>91</v>
      </c>
      <c r="B14" s="12">
        <v>340</v>
      </c>
      <c r="C14" s="14">
        <v>90.3</v>
      </c>
      <c r="D14" s="2">
        <f t="shared" ref="D14" si="0">C14/3*4</f>
        <v>120.39999999999999</v>
      </c>
      <c r="E14" s="5"/>
    </row>
    <row r="15" spans="1:9" ht="33.75" customHeight="1">
      <c r="A15" s="13" t="s">
        <v>77</v>
      </c>
      <c r="B15" s="2">
        <v>400</v>
      </c>
      <c r="C15" s="14">
        <f>C16+C17+C18+C19</f>
        <v>1287.2144000000001</v>
      </c>
      <c r="D15" s="14">
        <f>D16+D17+D18+D19</f>
        <v>1955.8249386666664</v>
      </c>
      <c r="E15" s="5">
        <f>D15/D8*1000/12</f>
        <v>3.3831035499935762</v>
      </c>
      <c r="G15" s="4">
        <f>E10+E15+E21+E22+E23+E27+E29+E25</f>
        <v>17.903864664153797</v>
      </c>
      <c r="H15">
        <v>30875.96</v>
      </c>
      <c r="I15">
        <f>G15*H15*12/1000</f>
        <v>6633.5881105899125</v>
      </c>
    </row>
    <row r="16" spans="1:9">
      <c r="A16" s="13" t="s">
        <v>72</v>
      </c>
      <c r="B16" s="12">
        <v>410</v>
      </c>
      <c r="C16" s="14">
        <v>927.2</v>
      </c>
      <c r="D16" s="14">
        <f>C16/3*4*1.16</f>
        <v>1434.0693333333331</v>
      </c>
      <c r="E16" s="5"/>
      <c r="G16" s="4">
        <f>E10+E15+E26+E27+E29+E25+G21</f>
        <v>14.730055519672517</v>
      </c>
      <c r="H16">
        <v>9956.0300000000007</v>
      </c>
      <c r="I16">
        <f t="shared" ref="I16:I17" si="1">G16*H16*12/1000</f>
        <v>1759.8344958663019</v>
      </c>
    </row>
    <row r="17" spans="1:9">
      <c r="A17" s="13" t="s">
        <v>73</v>
      </c>
      <c r="B17" s="12">
        <v>420</v>
      </c>
      <c r="C17" s="14">
        <f>C16*0.302</f>
        <v>280.01440000000002</v>
      </c>
      <c r="D17" s="14">
        <f>D16*0.302</f>
        <v>433.08893866666659</v>
      </c>
      <c r="E17" s="5"/>
      <c r="G17" s="4">
        <f>E10+E15+E24+E25+E26+E27+E29+F21+F22+F27+G21</f>
        <v>23.334210385836666</v>
      </c>
      <c r="H17">
        <v>7344.32</v>
      </c>
      <c r="I17">
        <f t="shared" si="1"/>
        <v>2056.4868962508954</v>
      </c>
    </row>
    <row r="18" spans="1:9">
      <c r="A18" s="13" t="s">
        <v>74</v>
      </c>
      <c r="B18" s="12">
        <v>430</v>
      </c>
      <c r="C18" s="14">
        <v>80</v>
      </c>
      <c r="D18" s="14">
        <f>C18/3*4-18</f>
        <v>88.666666666666671</v>
      </c>
      <c r="E18" s="5"/>
      <c r="I18">
        <f>SUM(I15:I17)</f>
        <v>10449.909502707109</v>
      </c>
    </row>
    <row r="19" spans="1:9">
      <c r="A19" s="13" t="s">
        <v>75</v>
      </c>
      <c r="B19" s="12">
        <v>440</v>
      </c>
      <c r="C19" s="2"/>
      <c r="D19" s="2">
        <f t="shared" ref="D19" si="2">C19/3*4</f>
        <v>0</v>
      </c>
      <c r="E19" s="5"/>
    </row>
    <row r="20" spans="1:9" ht="34.5" customHeight="1">
      <c r="A20" s="13" t="s">
        <v>76</v>
      </c>
      <c r="B20" s="12">
        <v>500</v>
      </c>
      <c r="C20" s="14">
        <f>C21+C22+C23+C24+C25</f>
        <v>1593.3141999999998</v>
      </c>
      <c r="D20" s="14">
        <f>D21+D22+D23+D24+D25</f>
        <v>2396.651296</v>
      </c>
      <c r="E20" s="5">
        <f>E21+E22+E23+E25+E26</f>
        <v>5.937428544226691</v>
      </c>
      <c r="F20" t="s">
        <v>117</v>
      </c>
      <c r="G20" t="s">
        <v>118</v>
      </c>
      <c r="H20" t="s">
        <v>119</v>
      </c>
    </row>
    <row r="21" spans="1:9">
      <c r="A21" s="13" t="s">
        <v>138</v>
      </c>
      <c r="B21" s="12">
        <v>510</v>
      </c>
      <c r="C21" s="2">
        <f>154.2+159.5+678.4</f>
        <v>992.09999999999991</v>
      </c>
      <c r="D21" s="14">
        <f>C21/3*4*1.16</f>
        <v>1534.4479999999999</v>
      </c>
      <c r="E21" s="5">
        <f>(D21-214.6-8.4-39.8)/30875.96*1000/12</f>
        <v>3.432141597108775</v>
      </c>
      <c r="F21" s="4">
        <f>214.6/7344.32*1000/12</f>
        <v>2.4349883084251958</v>
      </c>
      <c r="G21" s="4">
        <f>8.4/(H16+H17)*1000/12</f>
        <v>4.0461609158196223E-2</v>
      </c>
      <c r="H21" s="4">
        <f>39856.43/12/1236.4</f>
        <v>2.6863225223767926</v>
      </c>
    </row>
    <row r="22" spans="1:9" ht="19.5" customHeight="1">
      <c r="A22" s="13" t="s">
        <v>137</v>
      </c>
      <c r="B22" s="12">
        <v>520</v>
      </c>
      <c r="C22" s="14">
        <f>C21*0.302</f>
        <v>299.61419999999998</v>
      </c>
      <c r="D22" s="14">
        <f>D21*0.302</f>
        <v>463.40329599999995</v>
      </c>
      <c r="E22" s="5">
        <f>(D22-88.1)/30875.96*1000/12</f>
        <v>1.0129328664328707</v>
      </c>
      <c r="F22" s="4">
        <f>88.1/H17*1000/12</f>
        <v>0.99963872307669976</v>
      </c>
    </row>
    <row r="23" spans="1:9">
      <c r="A23" s="13" t="s">
        <v>74</v>
      </c>
      <c r="B23" s="12">
        <v>530</v>
      </c>
      <c r="C23" s="2">
        <v>10</v>
      </c>
      <c r="D23" s="14">
        <v>10</v>
      </c>
      <c r="E23" s="5">
        <f>D23/30875.96*1000/12</f>
        <v>2.6989714111993062E-2</v>
      </c>
    </row>
    <row r="24" spans="1:9">
      <c r="A24" s="13" t="s">
        <v>78</v>
      </c>
      <c r="B24" s="12">
        <v>550</v>
      </c>
      <c r="C24" s="2">
        <f>1.7+11.4+10.7+103.4+74.4</f>
        <v>201.60000000000002</v>
      </c>
      <c r="D24" s="2">
        <f>C24/3*4</f>
        <v>268.8</v>
      </c>
      <c r="E24" s="5">
        <f>D24/7344.32*1000/12</f>
        <v>3.0499760359025756</v>
      </c>
    </row>
    <row r="25" spans="1:9">
      <c r="A25" s="13" t="s">
        <v>116</v>
      </c>
      <c r="B25" s="12">
        <v>560</v>
      </c>
      <c r="C25" s="2">
        <v>90</v>
      </c>
      <c r="D25" s="2">
        <f>C25/3*4</f>
        <v>120</v>
      </c>
      <c r="E25" s="5">
        <f>D25/D8*1000/12</f>
        <v>0.20757094255889305</v>
      </c>
    </row>
    <row r="26" spans="1:9">
      <c r="A26" s="13" t="s">
        <v>139</v>
      </c>
      <c r="B26" s="2">
        <v>700</v>
      </c>
      <c r="C26" s="5">
        <v>727.15</v>
      </c>
      <c r="D26" s="14">
        <v>727.15</v>
      </c>
      <c r="E26" s="5">
        <f>D26/D8*1000/12</f>
        <v>1.2577934240141591</v>
      </c>
    </row>
    <row r="27" spans="1:9">
      <c r="A27" s="13" t="s">
        <v>136</v>
      </c>
      <c r="B27" s="12">
        <v>800</v>
      </c>
      <c r="C27" s="2">
        <v>4295.5</v>
      </c>
      <c r="D27" s="14">
        <f>C27/3*3</f>
        <v>4295.5</v>
      </c>
      <c r="E27" s="5">
        <f>(D27-171.2)/D8*1000/12</f>
        <v>7.1340403199636881</v>
      </c>
      <c r="F27" s="28">
        <f>186.8/H17*1000/12</f>
        <v>2.1195517987596766</v>
      </c>
      <c r="G27">
        <v>6.66</v>
      </c>
      <c r="H27">
        <v>1.46</v>
      </c>
    </row>
    <row r="28" spans="1:9">
      <c r="A28" s="13" t="s">
        <v>85</v>
      </c>
      <c r="B28" s="12">
        <v>900</v>
      </c>
      <c r="C28" s="14">
        <f>C26+C20+C15+C10+C27</f>
        <v>8823.8719999999994</v>
      </c>
      <c r="D28" s="14">
        <f>D26+D20+D15+D10+D27</f>
        <v>10759.068026666666</v>
      </c>
      <c r="E28" s="5">
        <f>E27+E20+E15+E10</f>
        <v>18.848456599284653</v>
      </c>
    </row>
    <row r="29" spans="1:9">
      <c r="A29" s="13" t="s">
        <v>86</v>
      </c>
      <c r="B29" s="12">
        <v>1100</v>
      </c>
      <c r="C29" s="2">
        <f>20.8+115</f>
        <v>135.80000000000001</v>
      </c>
      <c r="D29" s="5">
        <f t="shared" ref="D29" si="3">C29/3*4</f>
        <v>181.06666666666669</v>
      </c>
      <c r="E29" s="5">
        <f>D29/D8*1000/12</f>
        <v>0.31320148888330757</v>
      </c>
    </row>
    <row r="30" spans="1:9">
      <c r="A30" s="13" t="s">
        <v>87</v>
      </c>
      <c r="B30" s="12">
        <v>1200</v>
      </c>
      <c r="C30" s="14">
        <f>SUM(C28:C29)</f>
        <v>8959.6719999999987</v>
      </c>
      <c r="D30" s="14">
        <f>SUM(D28:D29)</f>
        <v>10940.134693333333</v>
      </c>
      <c r="E30" s="5">
        <f>E29+E28</f>
        <v>19.161658088167961</v>
      </c>
      <c r="F30">
        <f>D30/12*1.05</f>
        <v>957.2617856666667</v>
      </c>
      <c r="G30">
        <f>D30/12</f>
        <v>911.67789111111108</v>
      </c>
    </row>
    <row r="31" spans="1:9">
      <c r="A31" s="17"/>
      <c r="B31" s="18"/>
      <c r="C31" s="18"/>
      <c r="D31" s="25"/>
    </row>
    <row r="32" spans="1:9">
      <c r="A32" s="77" t="s">
        <v>106</v>
      </c>
      <c r="B32" s="77"/>
      <c r="C32" s="77"/>
      <c r="D32" s="77"/>
    </row>
  </sheetData>
  <mergeCells count="6">
    <mergeCell ref="A32:D32"/>
    <mergeCell ref="B1:D1"/>
    <mergeCell ref="A2:D2"/>
    <mergeCell ref="B3:D3"/>
    <mergeCell ref="A4:D4"/>
    <mergeCell ref="A9:D9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opLeftCell="A7" workbookViewId="0">
      <selection activeCell="E30" sqref="E30"/>
    </sheetView>
  </sheetViews>
  <sheetFormatPr defaultRowHeight="15"/>
  <cols>
    <col min="1" max="1" width="48.5703125" customWidth="1"/>
    <col min="2" max="2" width="10.85546875" customWidth="1"/>
    <col min="4" max="4" width="13.140625" customWidth="1"/>
    <col min="5" max="5" width="10.7109375" customWidth="1"/>
    <col min="6" max="6" width="11.42578125" customWidth="1"/>
    <col min="11" max="11" width="11" bestFit="1" customWidth="1"/>
  </cols>
  <sheetData>
    <row r="1" spans="1:9">
      <c r="B1" s="78" t="s">
        <v>107</v>
      </c>
      <c r="C1" s="78"/>
      <c r="D1" s="78"/>
    </row>
    <row r="2" spans="1:9">
      <c r="A2" s="79" t="s">
        <v>108</v>
      </c>
      <c r="B2" s="79"/>
      <c r="C2" s="79"/>
      <c r="D2" s="79"/>
    </row>
    <row r="3" spans="1:9">
      <c r="B3" s="77" t="s">
        <v>109</v>
      </c>
      <c r="C3" s="77"/>
      <c r="D3" s="77"/>
    </row>
    <row r="4" spans="1:9" ht="68.25" customHeight="1">
      <c r="A4" s="80" t="s">
        <v>103</v>
      </c>
      <c r="B4" s="80"/>
      <c r="C4" s="80"/>
      <c r="D4" s="80"/>
    </row>
    <row r="5" spans="1:9" ht="60">
      <c r="A5" s="10" t="s">
        <v>64</v>
      </c>
      <c r="B5" s="10" t="s">
        <v>65</v>
      </c>
      <c r="C5" s="10" t="s">
        <v>66</v>
      </c>
      <c r="D5" s="10" t="s">
        <v>67</v>
      </c>
      <c r="E5" s="31" t="s">
        <v>140</v>
      </c>
    </row>
    <row r="6" spans="1:9">
      <c r="A6" s="10">
        <v>1</v>
      </c>
      <c r="B6" s="10">
        <v>2</v>
      </c>
      <c r="C6" s="10">
        <v>3</v>
      </c>
      <c r="D6" s="10">
        <v>4</v>
      </c>
      <c r="E6" s="2"/>
    </row>
    <row r="7" spans="1:9">
      <c r="A7" s="7" t="s">
        <v>69</v>
      </c>
      <c r="B7" s="8"/>
      <c r="C7" s="8"/>
      <c r="D7" s="9"/>
      <c r="E7" s="2"/>
    </row>
    <row r="8" spans="1:9" ht="30">
      <c r="A8" s="11" t="s">
        <v>68</v>
      </c>
      <c r="B8" s="2">
        <v>100</v>
      </c>
      <c r="C8" s="2">
        <v>48176.3</v>
      </c>
      <c r="D8" s="2">
        <v>48176.3</v>
      </c>
      <c r="E8" s="2"/>
    </row>
    <row r="9" spans="1:9">
      <c r="A9" s="81" t="s">
        <v>70</v>
      </c>
      <c r="B9" s="81"/>
      <c r="C9" s="81"/>
      <c r="D9" s="81"/>
      <c r="E9" s="2"/>
    </row>
    <row r="10" spans="1:9" ht="19.5" customHeight="1">
      <c r="A10" s="11" t="s">
        <v>71</v>
      </c>
      <c r="B10" s="12">
        <v>300</v>
      </c>
      <c r="C10" s="14">
        <f>C11+C12+C13+C14</f>
        <v>920.6934</v>
      </c>
      <c r="D10" s="14">
        <f>D11+D12+D13+D14</f>
        <v>1391.9417920000001</v>
      </c>
      <c r="E10" s="5">
        <f>D10/D8*1000/12</f>
        <v>2.4077222479379556</v>
      </c>
    </row>
    <row r="11" spans="1:9">
      <c r="A11" s="13" t="s">
        <v>72</v>
      </c>
      <c r="B11" s="12">
        <v>310</v>
      </c>
      <c r="C11" s="14">
        <f>5.3+6.9+4.9+574.6</f>
        <v>591.70000000000005</v>
      </c>
      <c r="D11" s="14">
        <f>C11/3*4*1.16</f>
        <v>915.16266666666672</v>
      </c>
      <c r="E11" s="5"/>
    </row>
    <row r="12" spans="1:9">
      <c r="A12" s="13" t="s">
        <v>73</v>
      </c>
      <c r="B12" s="12">
        <v>320</v>
      </c>
      <c r="C12" s="14">
        <f>C11*0.302</f>
        <v>178.6934</v>
      </c>
      <c r="D12" s="14">
        <f>D11*0.302</f>
        <v>276.37912533333332</v>
      </c>
      <c r="E12" s="5"/>
    </row>
    <row r="13" spans="1:9">
      <c r="A13" s="13" t="s">
        <v>74</v>
      </c>
      <c r="B13" s="12">
        <v>330</v>
      </c>
      <c r="C13" s="14">
        <v>60</v>
      </c>
      <c r="D13" s="2">
        <f t="shared" ref="D13:D14" si="0">C13/3*4</f>
        <v>80</v>
      </c>
      <c r="E13" s="5"/>
    </row>
    <row r="14" spans="1:9">
      <c r="A14" s="13" t="s">
        <v>91</v>
      </c>
      <c r="B14" s="12">
        <v>340</v>
      </c>
      <c r="C14" s="14">
        <v>90.3</v>
      </c>
      <c r="D14" s="2">
        <f t="shared" si="0"/>
        <v>120.39999999999999</v>
      </c>
      <c r="E14" s="5"/>
    </row>
    <row r="15" spans="1:9" ht="33.75" customHeight="1">
      <c r="A15" s="13" t="s">
        <v>77</v>
      </c>
      <c r="B15" s="2">
        <v>400</v>
      </c>
      <c r="C15" s="14">
        <f>C16+C17+C18+C19</f>
        <v>1287.2144000000001</v>
      </c>
      <c r="D15" s="14">
        <f>D16+D17+D18+D19</f>
        <v>1973.8249386666664</v>
      </c>
      <c r="E15" s="5">
        <f>D15/D8*1000/12</f>
        <v>3.4142391913774102</v>
      </c>
      <c r="G15" s="4">
        <f>E10+E15+E21+E22+E23+E27+E29+E25</f>
        <v>18.94560163092866</v>
      </c>
      <c r="H15">
        <v>30875.96</v>
      </c>
      <c r="I15">
        <f>G15*H15*12/1000</f>
        <v>7019.5636575898561</v>
      </c>
    </row>
    <row r="16" spans="1:9">
      <c r="A16" s="13" t="s">
        <v>72</v>
      </c>
      <c r="B16" s="12">
        <v>410</v>
      </c>
      <c r="C16" s="14">
        <v>927.2</v>
      </c>
      <c r="D16" s="14">
        <f>C16/3*4*1.16</f>
        <v>1434.0693333333331</v>
      </c>
      <c r="E16" s="5"/>
      <c r="G16" s="4">
        <f>E10+E15+E26+E27+E29+E25+G21</f>
        <v>16.182002731152945</v>
      </c>
      <c r="H16">
        <v>9956.0300000000007</v>
      </c>
      <c r="I16">
        <f t="shared" ref="I16:I17" si="1">G16*H16*12/1000</f>
        <v>1933.302055817288</v>
      </c>
    </row>
    <row r="17" spans="1:9">
      <c r="A17" s="13" t="s">
        <v>73</v>
      </c>
      <c r="B17" s="12">
        <v>420</v>
      </c>
      <c r="C17" s="14">
        <f>C16*0.302</f>
        <v>280.01440000000002</v>
      </c>
      <c r="D17" s="14">
        <f>D16*0.302</f>
        <v>433.08893866666659</v>
      </c>
      <c r="E17" s="5"/>
      <c r="G17" s="4">
        <f>E10+E15+E24+E25+E26+E27+E29+F21+F22+F27+G21</f>
        <v>24.786157597317093</v>
      </c>
      <c r="H17">
        <v>7344.32</v>
      </c>
      <c r="I17">
        <f t="shared" si="1"/>
        <v>2184.4496755815344</v>
      </c>
    </row>
    <row r="18" spans="1:9">
      <c r="A18" s="13" t="s">
        <v>74</v>
      </c>
      <c r="B18" s="12">
        <v>430</v>
      </c>
      <c r="C18" s="14">
        <v>80</v>
      </c>
      <c r="D18" s="14">
        <f t="shared" ref="D18:D19" si="2">C18/3*4</f>
        <v>106.66666666666667</v>
      </c>
      <c r="E18" s="5"/>
      <c r="I18">
        <f>SUM(I15:I17)</f>
        <v>11137.315388988678</v>
      </c>
    </row>
    <row r="19" spans="1:9">
      <c r="A19" s="13" t="s">
        <v>75</v>
      </c>
      <c r="B19" s="12">
        <v>440</v>
      </c>
      <c r="C19" s="2"/>
      <c r="D19" s="2">
        <f t="shared" si="2"/>
        <v>0</v>
      </c>
      <c r="E19" s="5"/>
    </row>
    <row r="20" spans="1:9" ht="34.5" customHeight="1">
      <c r="A20" s="13" t="s">
        <v>76</v>
      </c>
      <c r="B20" s="12">
        <v>500</v>
      </c>
      <c r="C20" s="14">
        <f>C21+C22+C23+C24+C25</f>
        <v>1593.3141999999998</v>
      </c>
      <c r="D20" s="14">
        <f>D21+D22+D23+D24+D25</f>
        <v>2399.984629333333</v>
      </c>
      <c r="E20" s="5"/>
      <c r="F20" t="s">
        <v>117</v>
      </c>
      <c r="G20" t="s">
        <v>118</v>
      </c>
      <c r="H20" t="s">
        <v>119</v>
      </c>
    </row>
    <row r="21" spans="1:9">
      <c r="A21" s="13" t="s">
        <v>138</v>
      </c>
      <c r="B21" s="12">
        <v>510</v>
      </c>
      <c r="C21" s="2">
        <f>154.2+159.5+678.4</f>
        <v>992.09999999999991</v>
      </c>
      <c r="D21" s="14">
        <f>C21/3*4*1.16</f>
        <v>1534.4479999999999</v>
      </c>
      <c r="E21" s="5">
        <f>(D21-214.6-8.4-39.8)/30875.96*1000/12</f>
        <v>3.432141597108775</v>
      </c>
      <c r="F21" s="4">
        <f>214.6/7344.32*1000/12</f>
        <v>2.4349883084251958</v>
      </c>
      <c r="G21" s="4">
        <f>8.4/(H16+H17)*1000/12</f>
        <v>4.0461609158196223E-2</v>
      </c>
      <c r="H21" s="4">
        <f>39856.43/12/1236.4</f>
        <v>2.6863225223767926</v>
      </c>
    </row>
    <row r="22" spans="1:9" ht="19.5" customHeight="1">
      <c r="A22" s="13" t="s">
        <v>137</v>
      </c>
      <c r="B22" s="12">
        <v>520</v>
      </c>
      <c r="C22" s="14">
        <f>C21*0.302</f>
        <v>299.61419999999998</v>
      </c>
      <c r="D22" s="14">
        <f>D21*0.302</f>
        <v>463.40329599999995</v>
      </c>
      <c r="E22" s="5">
        <f>(D22-88.1)/30875.96*1000/12</f>
        <v>1.0129328664328707</v>
      </c>
      <c r="F22" s="4">
        <f>88.1/H17*1000/12</f>
        <v>0.99963872307669976</v>
      </c>
    </row>
    <row r="23" spans="1:9">
      <c r="A23" s="13" t="s">
        <v>74</v>
      </c>
      <c r="B23" s="12">
        <v>530</v>
      </c>
      <c r="C23" s="2">
        <v>10</v>
      </c>
      <c r="D23" s="14">
        <f>C23/3*4</f>
        <v>13.333333333333334</v>
      </c>
      <c r="E23" s="5">
        <f>D23/30875.96*1000/12</f>
        <v>3.5986285482657421E-2</v>
      </c>
    </row>
    <row r="24" spans="1:9">
      <c r="A24" s="13" t="s">
        <v>78</v>
      </c>
      <c r="B24" s="12">
        <v>550</v>
      </c>
      <c r="C24" s="2">
        <f>1.7+11.4+10.7+103.4+74.4</f>
        <v>201.60000000000002</v>
      </c>
      <c r="D24" s="2">
        <f>C24/3*4</f>
        <v>268.8</v>
      </c>
      <c r="E24" s="5">
        <f>D24/7344.32*1000/12</f>
        <v>3.0499760359025756</v>
      </c>
    </row>
    <row r="25" spans="1:9">
      <c r="A25" s="13" t="s">
        <v>116</v>
      </c>
      <c r="B25" s="12">
        <v>560</v>
      </c>
      <c r="C25" s="2">
        <v>90</v>
      </c>
      <c r="D25" s="2">
        <f>C25/3*4</f>
        <v>120</v>
      </c>
      <c r="E25" s="5">
        <f>D25/D8*1000/12</f>
        <v>0.20757094255889305</v>
      </c>
    </row>
    <row r="26" spans="1:9">
      <c r="A26" s="13" t="s">
        <v>139</v>
      </c>
      <c r="B26" s="2">
        <v>700</v>
      </c>
      <c r="C26" s="5">
        <v>727.15</v>
      </c>
      <c r="D26" s="14">
        <v>969.5</v>
      </c>
      <c r="E26" s="5">
        <f>D26/D8*1000/12</f>
        <v>1.6770002400903901</v>
      </c>
    </row>
    <row r="27" spans="1:9">
      <c r="A27" s="13" t="s">
        <v>136</v>
      </c>
      <c r="B27" s="12">
        <v>800</v>
      </c>
      <c r="C27" s="2">
        <v>4295.5</v>
      </c>
      <c r="D27" s="14">
        <f>C27/3*4-252-608.79</f>
        <v>4866.5433333333331</v>
      </c>
      <c r="E27" s="5">
        <f>(D27-171.2)/D8*1000/12</f>
        <v>8.1218070111467906</v>
      </c>
      <c r="F27" s="28">
        <f>186.8/H17*1000/12</f>
        <v>2.1195517987596766</v>
      </c>
    </row>
    <row r="28" spans="1:9">
      <c r="A28" s="13" t="s">
        <v>85</v>
      </c>
      <c r="B28" s="12">
        <v>900</v>
      </c>
      <c r="C28" s="14">
        <f>C26+C20+C15+C10+C27</f>
        <v>8823.8719999999994</v>
      </c>
      <c r="D28" s="14">
        <f>D26+D20+D15+D10+D27</f>
        <v>11601.794693333333</v>
      </c>
      <c r="E28" s="5"/>
    </row>
    <row r="29" spans="1:9">
      <c r="A29" s="13" t="s">
        <v>86</v>
      </c>
      <c r="B29" s="12">
        <v>1100</v>
      </c>
      <c r="C29" s="2">
        <f>20.8+115</f>
        <v>135.80000000000001</v>
      </c>
      <c r="D29" s="5">
        <f t="shared" ref="D29" si="3">C29/3*4</f>
        <v>181.06666666666669</v>
      </c>
      <c r="E29" s="5">
        <f>D29/D8*1000/12</f>
        <v>0.31320148888330757</v>
      </c>
    </row>
    <row r="30" spans="1:9">
      <c r="A30" s="13" t="s">
        <v>87</v>
      </c>
      <c r="B30" s="12">
        <v>1200</v>
      </c>
      <c r="C30" s="14">
        <f>SUM(C28:C29)</f>
        <v>8959.6719999999987</v>
      </c>
      <c r="D30" s="14">
        <f>SUM(D28:D29)</f>
        <v>11782.861360000001</v>
      </c>
      <c r="E30" s="5">
        <v>11782.91</v>
      </c>
      <c r="F30">
        <f>D30/12*1.05</f>
        <v>1031.0003690000001</v>
      </c>
      <c r="G30">
        <f>D30/12</f>
        <v>981.90511333333336</v>
      </c>
    </row>
    <row r="31" spans="1:9" ht="30">
      <c r="A31" s="13" t="s">
        <v>88</v>
      </c>
      <c r="B31" s="12">
        <v>1300</v>
      </c>
      <c r="C31" s="5">
        <f>C30/C8/9*1000</f>
        <v>20.664084022872466</v>
      </c>
      <c r="D31" s="5">
        <f>D30/D8/12*1000</f>
        <v>20.381496987799672</v>
      </c>
      <c r="E31" s="5"/>
      <c r="F31">
        <f>D31/16.81</f>
        <v>1.2124626405591714</v>
      </c>
    </row>
    <row r="32" spans="1:9" ht="21.75" customHeight="1">
      <c r="A32" s="82" t="s">
        <v>113</v>
      </c>
      <c r="B32" s="83"/>
      <c r="C32" s="83"/>
      <c r="D32" s="84"/>
      <c r="E32" s="5"/>
      <c r="F32" t="e">
        <f>SUM(#REF!)/1000</f>
        <v>#REF!</v>
      </c>
      <c r="G32" t="e">
        <f>F30-F32</f>
        <v>#REF!</v>
      </c>
    </row>
    <row r="33" spans="1:5">
      <c r="A33" s="13" t="s">
        <v>111</v>
      </c>
      <c r="B33" s="2"/>
      <c r="C33" s="16"/>
      <c r="D33" s="24">
        <f>21.5*12*0.7</f>
        <v>180.6</v>
      </c>
      <c r="E33" s="2"/>
    </row>
    <row r="34" spans="1:5" ht="30">
      <c r="A34" s="13" t="s">
        <v>112</v>
      </c>
      <c r="B34" s="2"/>
      <c r="C34" s="2"/>
      <c r="D34" s="26">
        <f>D33*1000/D8/12</f>
        <v>0.31239426855113406</v>
      </c>
      <c r="E34" s="2"/>
    </row>
    <row r="35" spans="1:5">
      <c r="A35" s="17"/>
      <c r="B35" s="18"/>
      <c r="C35" s="18"/>
      <c r="D35" s="25"/>
    </row>
    <row r="36" spans="1:5">
      <c r="A36" s="77" t="s">
        <v>106</v>
      </c>
      <c r="B36" s="77"/>
      <c r="C36" s="77"/>
      <c r="D36" s="77"/>
    </row>
  </sheetData>
  <mergeCells count="7">
    <mergeCell ref="A32:D32"/>
    <mergeCell ref="A36:D36"/>
    <mergeCell ref="B1:D1"/>
    <mergeCell ref="A2:D2"/>
    <mergeCell ref="B3:D3"/>
    <mergeCell ref="A4:D4"/>
    <mergeCell ref="A9:D9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расчет Гагарина 2а</vt:lpstr>
      <vt:lpstr>расчет Вокзальная 17а</vt:lpstr>
      <vt:lpstr>расчет Пионерская 4</vt:lpstr>
      <vt:lpstr>расчет Пионерская 14</vt:lpstr>
      <vt:lpstr>расчет Строитель на 2013 </vt:lpstr>
      <vt:lpstr>расчет на 13 год Пионерская 6,2</vt:lpstr>
      <vt:lpstr>расчет Пушкина 2 на 2013 го</vt:lpstr>
      <vt:lpstr>лебед на 2014 годтсж  (2)</vt:lpstr>
      <vt:lpstr>лебед на 2013 годтсж </vt:lpstr>
      <vt:lpstr>расчет на 2013 год(прокуратура,</vt:lpstr>
      <vt:lpstr>расчет декабрь</vt:lpstr>
      <vt:lpstr>расчет на 2013 общ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Elli Project</cp:lastModifiedBy>
  <cp:lastPrinted>2014-02-07T06:45:48Z</cp:lastPrinted>
  <dcterms:created xsi:type="dcterms:W3CDTF">2011-12-21T04:19:38Z</dcterms:created>
  <dcterms:modified xsi:type="dcterms:W3CDTF">2014-02-07T06:46:35Z</dcterms:modified>
</cp:coreProperties>
</file>